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8490" activeTab="3"/>
  </bookViews>
  <sheets>
    <sheet name="вихідні" sheetId="1" r:id="rId1"/>
    <sheet name="друк" sheetId="2" r:id="rId2"/>
    <sheet name="Диаграмма1" sheetId="3" r:id="rId3"/>
    <sheet name="електро (2)" sheetId="4" r:id="rId4"/>
    <sheet name="ескіз" sheetId="5" r:id="rId5"/>
    <sheet name="електро" sheetId="6" r:id="rId6"/>
    <sheet name="Диаграмма3" sheetId="7" r:id="rId7"/>
  </sheets>
  <definedNames>
    <definedName name="_xlnm.Print_Area" localSheetId="1">'друк'!$A$1:$D$44</definedName>
    <definedName name="_xlnm.Print_Area" localSheetId="5">'електро'!$A$1:$P$45</definedName>
    <definedName name="_xlnm.Print_Area" localSheetId="3">'електро (2)'!$A$1:$O$29</definedName>
  </definedNames>
  <calcPr fullCalcOnLoad="1"/>
</workbook>
</file>

<file path=xl/sharedStrings.xml><?xml version="1.0" encoding="utf-8"?>
<sst xmlns="http://schemas.openxmlformats.org/spreadsheetml/2006/main" count="430" uniqueCount="300">
  <si>
    <t xml:space="preserve">Відношення </t>
  </si>
  <si>
    <t>Діаметр дзеркала металу</t>
  </si>
  <si>
    <t>dм</t>
  </si>
  <si>
    <t>dм:dш</t>
  </si>
  <si>
    <t>Коефіцієнт</t>
  </si>
  <si>
    <t>с</t>
  </si>
  <si>
    <t>Обсяг металевої ванни</t>
  </si>
  <si>
    <t>Vм</t>
  </si>
  <si>
    <t>Глибина металевої ванни</t>
  </si>
  <si>
    <t>hм</t>
  </si>
  <si>
    <t>Глибина сферичного сегменту</t>
  </si>
  <si>
    <t>hс</t>
  </si>
  <si>
    <t>Висота конічної частини до рівня дзеркала металу</t>
  </si>
  <si>
    <t>hк</t>
  </si>
  <si>
    <t>Висота шару шлаку</t>
  </si>
  <si>
    <t>hш</t>
  </si>
  <si>
    <t>Діаметр сферичної частини ванни</t>
  </si>
  <si>
    <t>dс</t>
  </si>
  <si>
    <t>Обсяг шлаку</t>
  </si>
  <si>
    <t>Vш</t>
  </si>
  <si>
    <t>Додатковий обсяг ванни</t>
  </si>
  <si>
    <t>Vд</t>
  </si>
  <si>
    <t>Повна глибина ванни</t>
  </si>
  <si>
    <t>hо</t>
  </si>
  <si>
    <t>Діаметр плавильного простору на рівні відкосів</t>
  </si>
  <si>
    <t>dо</t>
  </si>
  <si>
    <t>Повний обсяг ванни</t>
  </si>
  <si>
    <t>Vв</t>
  </si>
  <si>
    <t>dр:dо</t>
  </si>
  <si>
    <t>Діаметр розпаду електродів</t>
  </si>
  <si>
    <t>Кут нахилу стін</t>
  </si>
  <si>
    <t>а</t>
  </si>
  <si>
    <t>Висота стін від рівня відкосів до пят склепіння</t>
  </si>
  <si>
    <t>Нст</t>
  </si>
  <si>
    <t>Обсяг завалки</t>
  </si>
  <si>
    <t>Vзав</t>
  </si>
  <si>
    <t>мм</t>
  </si>
  <si>
    <t>о</t>
  </si>
  <si>
    <t>параметри</t>
  </si>
  <si>
    <t>позначення параметру</t>
  </si>
  <si>
    <t>показники</t>
  </si>
  <si>
    <t>одиниці виміру</t>
  </si>
  <si>
    <t>т</t>
  </si>
  <si>
    <t>малі і середні</t>
  </si>
  <si>
    <t>великі</t>
  </si>
  <si>
    <t>з кислою футерівкою</t>
  </si>
  <si>
    <t>5,5-5,0</t>
  </si>
  <si>
    <t>4,5-4,0</t>
  </si>
  <si>
    <t>3,5-4,0</t>
  </si>
  <si>
    <t>беремо</t>
  </si>
  <si>
    <t>Висота додаткового обсягу</t>
  </si>
  <si>
    <t>середні</t>
  </si>
  <si>
    <t>малі</t>
  </si>
  <si>
    <t>20-40</t>
  </si>
  <si>
    <t>60-80</t>
  </si>
  <si>
    <t>90-130</t>
  </si>
  <si>
    <t>0,35-0,4</t>
  </si>
  <si>
    <t>0,25-0,2</t>
  </si>
  <si>
    <t xml:space="preserve">Кут нахилу основи стін </t>
  </si>
  <si>
    <t>3 - 25 т</t>
  </si>
  <si>
    <t xml:space="preserve">50 т </t>
  </si>
  <si>
    <t>100 т</t>
  </si>
  <si>
    <t>200 т</t>
  </si>
  <si>
    <t>19-27</t>
  </si>
  <si>
    <t>19-25</t>
  </si>
  <si>
    <t>Коефіцієнт для розрахунку висоти плавильного простору від рівня відкосів до пят склепіння</t>
  </si>
  <si>
    <t>0,525-0,45</t>
  </si>
  <si>
    <t>0,45-0,4</t>
  </si>
  <si>
    <t>0,35-0,325</t>
  </si>
  <si>
    <t>Дк</t>
  </si>
  <si>
    <t>Коефіцієнт для розрахунку діаметру кожуха Дк</t>
  </si>
  <si>
    <t>к</t>
  </si>
  <si>
    <t>1,5-1,65</t>
  </si>
  <si>
    <t>Коефіцієнт для розрахунку стрели випуклості склепіння hстр</t>
  </si>
  <si>
    <t>для дінасового склепіння</t>
  </si>
  <si>
    <t>0,143-0,125</t>
  </si>
  <si>
    <t>0,10-0,09</t>
  </si>
  <si>
    <t>для магнезітохромітового (хромомагнезітового) склепіння</t>
  </si>
  <si>
    <t>найменування параметру</t>
  </si>
  <si>
    <t>позначення</t>
  </si>
  <si>
    <t>тип печі</t>
  </si>
  <si>
    <t>межі параметрів</t>
  </si>
  <si>
    <t>Вихідні дані:</t>
  </si>
  <si>
    <t>ДСП</t>
  </si>
  <si>
    <t>Діаметр електроду, мм</t>
  </si>
  <si>
    <t>Питомий електричний опір, мк Ом·м</t>
  </si>
  <si>
    <t>ЕГОО, ЕГООА</t>
  </si>
  <si>
    <t>ЕГО, ЕГОА</t>
  </si>
  <si>
    <t>ЕГ, ЕГА</t>
  </si>
  <si>
    <t>75, 100, 150, 200</t>
  </si>
  <si>
    <t>7.6 - 8.0</t>
  </si>
  <si>
    <t>8.1 - 10.0</t>
  </si>
  <si>
    <t>250, 300, 350, 400</t>
  </si>
  <si>
    <t>8.0</t>
  </si>
  <si>
    <t>8.1 - 9.0</t>
  </si>
  <si>
    <t>0.1 - 12.0</t>
  </si>
  <si>
    <t>450, 500, 550</t>
  </si>
  <si>
    <t>9.1 - 12.5</t>
  </si>
  <si>
    <t>—</t>
  </si>
  <si>
    <t>9.0</t>
  </si>
  <si>
    <t>7,5.</t>
  </si>
  <si>
    <t>Марка електроду</t>
  </si>
  <si>
    <t>j на електродах діаметром, мм, не більше</t>
  </si>
  <si>
    <t>ЕГОО</t>
  </si>
  <si>
    <t>ЕГО</t>
  </si>
  <si>
    <t>ЕГ</t>
  </si>
  <si>
    <t xml:space="preserve">Примітка: електроди марок ЕГООА, ЕГОА, ЕГА - виготовляють з використанням хімічно активних речовин, що дозволяє збільшити припустиму середню щільність струму на 15 % (при відношенні до електродів марок ЕГОО, ЕГО та ЕГ, відповідно). </t>
  </si>
  <si>
    <t>Таблиця 5.2 - Припустима середня щільність струму (j) на електродах різних діаметрів (за ГОСТ 4426-80) А/см2</t>
  </si>
  <si>
    <t>Для розрахунку необхідні слідуючі дані:</t>
  </si>
  <si>
    <t xml:space="preserve">       U2ф = U2л /  3 – фазова напруга пічного трансформатору, В;</t>
  </si>
  <si>
    <t xml:space="preserve">       rr –  активний опір короткої мережі, Ом;</t>
  </si>
  <si>
    <t xml:space="preserve">       хк – індуктивний опір короткої мережі, Ом;</t>
  </si>
  <si>
    <t xml:space="preserve">       Рт.п. – потужність теплових втрат, кВа;</t>
  </si>
  <si>
    <t xml:space="preserve">       G – кількість шихти, що розплавляється, т.</t>
  </si>
  <si>
    <t>Величини оперу короткої мережі ДСП обирають з наступних даних:</t>
  </si>
  <si>
    <t>Тип печі</t>
  </si>
  <si>
    <t>ДСП 5</t>
  </si>
  <si>
    <t>ДСП 25</t>
  </si>
  <si>
    <t>ДСП 50</t>
  </si>
  <si>
    <t>ДСП 100</t>
  </si>
  <si>
    <t>ДСП 200</t>
  </si>
  <si>
    <t>Вихідні дані : Піч призначена для _ _ _ _ _ _ _</t>
  </si>
  <si>
    <t xml:space="preserve">                  А.  _ _ _ _ _ _роботи кислим процесом.</t>
  </si>
  <si>
    <t xml:space="preserve">                  Б.  _ _ _ _ _ _виплавки високоякісних сталей та сплавів.</t>
  </si>
  <si>
    <t xml:space="preserve">                  В.  _ _ _ _ _ _виплавки рядових сталей одношлаковим                      </t>
  </si>
  <si>
    <t xml:space="preserve">                                        процесом чи напівпродукту.</t>
  </si>
  <si>
    <t xml:space="preserve">                  “1” —  3 т ;   “2” —  6 т ;   “3” —  12 т ; “4” — 25 т .</t>
  </si>
  <si>
    <t xml:space="preserve">        “1” —  3 т ;   “2” —  6 т ;   “3” —  12 т ; “4” — 25 т ; “5” — 50 т ; “6” — 75 т.</t>
  </si>
  <si>
    <t xml:space="preserve">                   “1” —  75 т ;   “2” —  100 т ;   “3” —  150 т ; “4” — 200 т .</t>
  </si>
  <si>
    <t xml:space="preserve">            для печей, призначених для виплавки спеціальних сталей та сплавів : </t>
  </si>
  <si>
    <t>2,3 -  3,0</t>
  </si>
  <si>
    <t>2,8 -  3,5</t>
  </si>
  <si>
    <t>4,6  - 4,9</t>
  </si>
  <si>
    <t>0,92 -  0,72</t>
  </si>
  <si>
    <t>0,40 - 1,10</t>
  </si>
  <si>
    <t>0,40 - 0,70</t>
  </si>
  <si>
    <t>0,55 - 0,65</t>
  </si>
  <si>
    <t xml:space="preserve">Таблиця 5.1-  Питомий електричний опір ( ) графітизованих електродів (за ГОСТ 4426 - 80), мк Ом·м. </t>
  </si>
  <si>
    <t>t п</t>
  </si>
  <si>
    <t>t р</t>
  </si>
  <si>
    <t xml:space="preserve">                   “01” — t п  = 0 - 20 , t р = 1 - 20 ;         “02” — t п  = 0 - 20 , t р = 1 - 00 ;</t>
  </si>
  <si>
    <t xml:space="preserve">                   “01” — t п  = 0 - 25 , t р = 1 - 00 ;         “02” — t п  = 0 - 25 , t р = 0 -50 ; </t>
  </si>
  <si>
    <t xml:space="preserve">                   “03” — t п  = 0 - 25 , t р = 1 - 10 ;         “04” — t п  = 0 - 30 , t р = 0 -50 ; </t>
  </si>
  <si>
    <t xml:space="preserve">                   “05” — t п  = 0 - 30 , t р = 1 - 10 . </t>
  </si>
  <si>
    <t xml:space="preserve">                   “01” — t п  = 0 - 25 , t р = 1 -00 ;          “02” — t п  = 0 - 25 , t р = 1 -10 ; </t>
  </si>
  <si>
    <t xml:space="preserve">                   “03” — t п  = 0 - 30 , t р = 1 -10 ;          “04” — t п  = 0 - 30 , t р = 1 -20 ;</t>
  </si>
  <si>
    <t xml:space="preserve">                   “05” — t п  = 0 - 25 , t р = 0 -50 ;          “06” — t п  = 0 - 30 , t р = 0 -50 ; </t>
  </si>
  <si>
    <t xml:space="preserve">                   “07” — t п  = 0 - 35 , t р = 1 -20 ;          “08” — t п  = 0 - 30 , t р = 1 -30 </t>
  </si>
  <si>
    <t xml:space="preserve">для печей, що виплавляють рядові сталі одношлаковим процесом чи  напівпродукт :        </t>
  </si>
  <si>
    <t>призначені для виплавки спеціальних сталей та сплавів :</t>
  </si>
  <si>
    <t>які працюють кислим процесом :</t>
  </si>
  <si>
    <t>Ємність печей :</t>
  </si>
  <si>
    <t xml:space="preserve">призначених для виплавки рядових сталей ( чи напівпродукту) </t>
  </si>
  <si>
    <t>Тривалість міжплавочного простою та періоду розплавлення ( год - хв )</t>
  </si>
  <si>
    <t xml:space="preserve">для печей, які працюють кислим процесом : </t>
  </si>
  <si>
    <t>Кп</t>
  </si>
  <si>
    <t xml:space="preserve">коефіцієнт збільшення активного опору електроду внаслідок поверхневого ефекту( для електродів діаметром) </t>
  </si>
  <si>
    <r>
      <t>r * 10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, Ом</t>
    </r>
  </si>
  <si>
    <r>
      <t>х * 10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, Ом</t>
    </r>
  </si>
  <si>
    <t>Діаметр електроду</t>
  </si>
  <si>
    <t>Питома потужність теплових втрат</t>
  </si>
  <si>
    <t>Електрична потужність в період плавління</t>
  </si>
  <si>
    <t>Рел</t>
  </si>
  <si>
    <t>Потужність теплових втрат</t>
  </si>
  <si>
    <t>Потужність теплових втрат за годину простою та плавління</t>
  </si>
  <si>
    <t>Ртп</t>
  </si>
  <si>
    <t>Коефіцієнт потужності</t>
  </si>
  <si>
    <t>Соs Y</t>
  </si>
  <si>
    <t>Sн</t>
  </si>
  <si>
    <t>Номінальна потужність пічного трансформатора</t>
  </si>
  <si>
    <t>Електричний КПД</t>
  </si>
  <si>
    <t>Вища ступінь вториної напруги</t>
  </si>
  <si>
    <t>Нища ступінь вториної напруги</t>
  </si>
  <si>
    <t>Рв</t>
  </si>
  <si>
    <t>Мінімальна потужність пічного трансформатора</t>
  </si>
  <si>
    <t>Глибина регулювання напруги трансформатора</t>
  </si>
  <si>
    <t>А</t>
  </si>
  <si>
    <t>Середньоквадратична сила струму, що протікає через електрод</t>
  </si>
  <si>
    <t>кВт</t>
  </si>
  <si>
    <t>В</t>
  </si>
  <si>
    <t>мВт</t>
  </si>
  <si>
    <t>кА</t>
  </si>
  <si>
    <t>Таблиця ___ - Потужність пічного трансформатору, електричні параметри ЕПУ та діаметр електроду</t>
  </si>
  <si>
    <t xml:space="preserve">мк Ом·м. </t>
  </si>
  <si>
    <t>Коефіцієнт збільшення активного опору електроду внаслідок поверхневого ефекту</t>
  </si>
  <si>
    <t>Активний електричний опір  електродів</t>
  </si>
  <si>
    <t>Індуктивний електричний опір  електродів</t>
  </si>
  <si>
    <t>Тривалість міжплавочного простою</t>
  </si>
  <si>
    <t>Тривалість періоду плавління</t>
  </si>
  <si>
    <t>годин</t>
  </si>
  <si>
    <t>Емність печі</t>
  </si>
  <si>
    <t>dр</t>
  </si>
  <si>
    <t>Діаметр кожуху печі</t>
  </si>
  <si>
    <r>
      <t>^</t>
    </r>
    <r>
      <rPr>
        <sz val="14"/>
        <rFont val="Arial Cyr"/>
        <family val="2"/>
      </rPr>
      <t>h</t>
    </r>
  </si>
  <si>
    <t>Густина шлаку</t>
  </si>
  <si>
    <t>кислого</t>
  </si>
  <si>
    <t>основного</t>
  </si>
  <si>
    <t xml:space="preserve">Діаметр плавильного простору </t>
  </si>
  <si>
    <t>dпп</t>
  </si>
  <si>
    <t>Ємність, т</t>
  </si>
  <si>
    <t>Ступіні несиметріі, %</t>
  </si>
  <si>
    <r>
      <t>a</t>
    </r>
    <r>
      <rPr>
        <sz val="14"/>
        <rFont val="Times New Roman"/>
        <family val="1"/>
      </rPr>
      <t xml:space="preserve"> град</t>
    </r>
  </si>
  <si>
    <t>25/25</t>
  </si>
  <si>
    <t>19/27</t>
  </si>
  <si>
    <t>19/25</t>
  </si>
  <si>
    <r>
      <t>H</t>
    </r>
    <r>
      <rPr>
        <vertAlign val="subscript"/>
        <sz val="14"/>
        <rFont val="Times New Roman"/>
        <family val="1"/>
      </rPr>
      <t xml:space="preserve">k </t>
    </r>
    <r>
      <rPr>
        <sz val="14"/>
        <rFont val="Times New Roman"/>
        <family val="1"/>
      </rPr>
      <t>/ d</t>
    </r>
    <r>
      <rPr>
        <vertAlign val="subscript"/>
        <sz val="14"/>
        <rFont val="Times New Roman"/>
        <family val="1"/>
      </rPr>
      <t>o</t>
    </r>
  </si>
  <si>
    <t>0,07/ 0,1</t>
  </si>
  <si>
    <t>0,02 /0,03</t>
  </si>
  <si>
    <t>0,08/ 011</t>
  </si>
  <si>
    <t>5/10.</t>
  </si>
  <si>
    <t>5/20.</t>
  </si>
  <si>
    <t>5/30.</t>
  </si>
  <si>
    <t>Діаметр склепіння печі</t>
  </si>
  <si>
    <t>Дск</t>
  </si>
  <si>
    <t>hск</t>
  </si>
  <si>
    <t>Стріла випуклості склепіння</t>
  </si>
  <si>
    <t>3-25.</t>
  </si>
  <si>
    <t>Ємність печі, т</t>
  </si>
  <si>
    <t>&lt;25</t>
  </si>
  <si>
    <t>25-50</t>
  </si>
  <si>
    <r>
      <t>³</t>
    </r>
    <r>
      <rPr>
        <b/>
        <sz val="14"/>
        <rFont val="Times New Roman"/>
        <family val="1"/>
      </rPr>
      <t>100</t>
    </r>
  </si>
  <si>
    <t>Товщина склепіння</t>
  </si>
  <si>
    <t>230-300</t>
  </si>
  <si>
    <t>380-460</t>
  </si>
  <si>
    <r>
      <t>£</t>
    </r>
    <r>
      <rPr>
        <b/>
        <sz val="14"/>
        <rFont val="Times New Roman"/>
        <family val="1"/>
      </rPr>
      <t xml:space="preserve"> 12</t>
    </r>
  </si>
  <si>
    <t>295-365</t>
  </si>
  <si>
    <t>365-445</t>
  </si>
  <si>
    <t>445-495</t>
  </si>
  <si>
    <t>525-575</t>
  </si>
  <si>
    <t>в верхній частині</t>
  </si>
  <si>
    <t>230-295</t>
  </si>
  <si>
    <t>365-415</t>
  </si>
  <si>
    <t>Загальна товщина стін:                         на рівні укосів</t>
  </si>
  <si>
    <r>
      <t>d</t>
    </r>
    <r>
      <rPr>
        <vertAlign val="subscript"/>
        <sz val="14"/>
        <rFont val="Arial Cyr"/>
        <family val="0"/>
      </rPr>
      <t>ел1</t>
    </r>
  </si>
  <si>
    <r>
      <t>d</t>
    </r>
    <r>
      <rPr>
        <vertAlign val="subscript"/>
        <sz val="14"/>
        <rFont val="Arial Cyr"/>
        <family val="0"/>
      </rPr>
      <t>ел2</t>
    </r>
  </si>
  <si>
    <t>Коефіцієнт, величина якого визначається теплопровідністю електрода</t>
  </si>
  <si>
    <t>g</t>
  </si>
  <si>
    <t>0,5 -12т</t>
  </si>
  <si>
    <t>25 - 50 т</t>
  </si>
  <si>
    <r>
      <t>(1,5 - 2,0)*10</t>
    </r>
    <r>
      <rPr>
        <i/>
        <vertAlign val="superscript"/>
        <sz val="12"/>
        <rFont val="Arial Cyr"/>
        <family val="0"/>
      </rPr>
      <t>4</t>
    </r>
    <r>
      <rPr>
        <i/>
        <sz val="12"/>
        <rFont val="Arial Cyr"/>
        <family val="2"/>
      </rPr>
      <t xml:space="preserve"> </t>
    </r>
  </si>
  <si>
    <r>
      <t>(3,0 - 3,5)*10</t>
    </r>
    <r>
      <rPr>
        <i/>
        <vertAlign val="superscript"/>
        <sz val="12"/>
        <rFont val="Arial Cyr"/>
        <family val="0"/>
      </rPr>
      <t>4</t>
    </r>
  </si>
  <si>
    <r>
      <t>(8 - 9)*10</t>
    </r>
    <r>
      <rPr>
        <i/>
        <vertAlign val="superscript"/>
        <sz val="12"/>
        <rFont val="Arial Cyr"/>
        <family val="0"/>
      </rPr>
      <t>4</t>
    </r>
  </si>
  <si>
    <r>
      <t>≥</t>
    </r>
    <r>
      <rPr>
        <i/>
        <sz val="12"/>
        <rFont val="Arial Cyr"/>
        <family val="2"/>
      </rPr>
      <t xml:space="preserve"> 100 т</t>
    </r>
  </si>
  <si>
    <r>
      <t>d</t>
    </r>
    <r>
      <rPr>
        <b/>
        <vertAlign val="subscript"/>
        <sz val="14"/>
        <color indexed="10"/>
        <rFont val="Arial Cyr"/>
        <family val="0"/>
      </rPr>
      <t>ел</t>
    </r>
  </si>
  <si>
    <t>Маса садки (емність печі)</t>
  </si>
  <si>
    <t>m</t>
  </si>
  <si>
    <t>С</t>
  </si>
  <si>
    <t>середні і великі</t>
  </si>
  <si>
    <r>
      <t>С, кВт / т</t>
    </r>
    <r>
      <rPr>
        <vertAlign val="superscript"/>
        <sz val="12"/>
        <rFont val="Arial Cyr"/>
        <family val="0"/>
      </rPr>
      <t>-0,5</t>
    </r>
  </si>
  <si>
    <t>Питома потужність теплових втрат в період плавління</t>
  </si>
  <si>
    <t>до 6 т</t>
  </si>
  <si>
    <t>50 - 150 т</t>
  </si>
  <si>
    <t>більш 200 т</t>
  </si>
  <si>
    <t>0,75 - 0,7</t>
  </si>
  <si>
    <t>0,7 - 0,68</t>
  </si>
  <si>
    <t>Sм</t>
  </si>
  <si>
    <t>Сила вториного струму на вищий ступені напруги</t>
  </si>
  <si>
    <t>Pпот</t>
  </si>
  <si>
    <t>Рд</t>
  </si>
  <si>
    <t>Ракт</t>
  </si>
  <si>
    <t>q</t>
  </si>
  <si>
    <t>W</t>
  </si>
  <si>
    <t>t</t>
  </si>
  <si>
    <t>h</t>
  </si>
  <si>
    <t>Rф</t>
  </si>
  <si>
    <t>КИН</t>
  </si>
  <si>
    <t>Рд1</t>
  </si>
  <si>
    <t>Результати розрахунку:</t>
  </si>
  <si>
    <t>Таблиця ___ - Електричні та робочі характеристики ДСП</t>
  </si>
  <si>
    <t>Таблиця ___ -  Раціональні параметри робочого простору дугових сталеплавильних печей</t>
  </si>
  <si>
    <t>кВа</t>
  </si>
  <si>
    <r>
      <t>м</t>
    </r>
    <r>
      <rPr>
        <vertAlign val="superscript"/>
        <sz val="16"/>
        <color indexed="62"/>
        <rFont val="Arial Cyr"/>
        <family val="2"/>
      </rPr>
      <t>3</t>
    </r>
  </si>
  <si>
    <r>
      <t>d</t>
    </r>
    <r>
      <rPr>
        <vertAlign val="subscript"/>
        <sz val="14"/>
        <color indexed="62"/>
        <rFont val="Arial Cyr"/>
        <family val="0"/>
      </rPr>
      <t>ел</t>
    </r>
  </si>
  <si>
    <r>
      <t>q</t>
    </r>
    <r>
      <rPr>
        <vertAlign val="subscript"/>
        <sz val="14"/>
        <color indexed="62"/>
        <rFont val="Arial Cyr"/>
        <family val="0"/>
      </rPr>
      <t>р</t>
    </r>
  </si>
  <si>
    <r>
      <t>q</t>
    </r>
    <r>
      <rPr>
        <vertAlign val="subscript"/>
        <sz val="14"/>
        <color indexed="62"/>
        <rFont val="Arial Cyr"/>
        <family val="0"/>
      </rPr>
      <t>п</t>
    </r>
  </si>
  <si>
    <r>
      <t>h</t>
    </r>
    <r>
      <rPr>
        <vertAlign val="subscript"/>
        <sz val="14"/>
        <color indexed="62"/>
        <rFont val="Arial"/>
        <family val="2"/>
      </rPr>
      <t>ел</t>
    </r>
  </si>
  <si>
    <r>
      <t>U</t>
    </r>
    <r>
      <rPr>
        <vertAlign val="subscript"/>
        <sz val="14"/>
        <color indexed="62"/>
        <rFont val="Arial Cyr"/>
        <family val="0"/>
      </rPr>
      <t>2лв</t>
    </r>
  </si>
  <si>
    <r>
      <t>U</t>
    </r>
    <r>
      <rPr>
        <vertAlign val="subscript"/>
        <sz val="14"/>
        <color indexed="62"/>
        <rFont val="Arial Cyr"/>
        <family val="0"/>
      </rPr>
      <t>2лн</t>
    </r>
  </si>
  <si>
    <r>
      <t>І</t>
    </r>
    <r>
      <rPr>
        <vertAlign val="subscript"/>
        <sz val="14"/>
        <color indexed="62"/>
        <rFont val="Arial Cyr"/>
        <family val="2"/>
      </rPr>
      <t>2л</t>
    </r>
  </si>
  <si>
    <r>
      <t>І</t>
    </r>
    <r>
      <rPr>
        <vertAlign val="subscript"/>
        <sz val="14"/>
        <color indexed="62"/>
        <rFont val="Arial Cyr"/>
        <family val="2"/>
      </rPr>
      <t>ел</t>
    </r>
  </si>
  <si>
    <t>Електричні та робочі характеристики електропечної установки</t>
  </si>
  <si>
    <t>кВт*год/т</t>
  </si>
  <si>
    <t>т/год</t>
  </si>
  <si>
    <t>год/т</t>
  </si>
  <si>
    <r>
      <t>І</t>
    </r>
    <r>
      <rPr>
        <i/>
        <vertAlign val="subscript"/>
        <sz val="14"/>
        <rFont val="Arial Cyr"/>
        <family val="2"/>
      </rPr>
      <t>2л</t>
    </r>
  </si>
  <si>
    <r>
      <t>U</t>
    </r>
    <r>
      <rPr>
        <i/>
        <vertAlign val="subscript"/>
        <sz val="14"/>
        <rFont val="Arial Cyr"/>
        <family val="2"/>
      </rPr>
      <t>д</t>
    </r>
  </si>
  <si>
    <r>
      <t>U</t>
    </r>
    <r>
      <rPr>
        <i/>
        <vertAlign val="subscript"/>
        <sz val="14"/>
        <rFont val="Arial Cyr"/>
        <family val="2"/>
      </rPr>
      <t>2лв</t>
    </r>
  </si>
  <si>
    <r>
      <t>U</t>
    </r>
    <r>
      <rPr>
        <i/>
        <vertAlign val="subscript"/>
        <sz val="14"/>
        <rFont val="Arial Cyr"/>
        <family val="2"/>
      </rPr>
      <t>2ф</t>
    </r>
  </si>
  <si>
    <r>
      <t>h</t>
    </r>
    <r>
      <rPr>
        <i/>
        <vertAlign val="subscript"/>
        <sz val="14"/>
        <rFont val="Arial"/>
        <family val="2"/>
      </rPr>
      <t>ел</t>
    </r>
  </si>
  <si>
    <t>мВт*кА</t>
  </si>
  <si>
    <r>
      <t>кВт*В/см</t>
    </r>
    <r>
      <rPr>
        <i/>
        <vertAlign val="superscript"/>
        <sz val="14"/>
        <rFont val="Arial Cyr"/>
        <family val="0"/>
      </rPr>
      <t>2</t>
    </r>
  </si>
  <si>
    <t>I2кз</t>
  </si>
  <si>
    <r>
      <t>t</t>
    </r>
    <r>
      <rPr>
        <i/>
        <vertAlign val="subscript"/>
        <sz val="14"/>
        <rFont val="Arial"/>
        <family val="2"/>
      </rPr>
      <t>n</t>
    </r>
  </si>
  <si>
    <r>
      <t>t</t>
    </r>
    <r>
      <rPr>
        <i/>
        <vertAlign val="subscript"/>
        <sz val="14"/>
        <rFont val="Arial"/>
        <family val="2"/>
      </rPr>
      <t>p</t>
    </r>
  </si>
  <si>
    <r>
      <t>r * 10</t>
    </r>
    <r>
      <rPr>
        <i/>
        <vertAlign val="superscript"/>
        <sz val="12"/>
        <rFont val="Arial Cyr"/>
        <family val="0"/>
      </rPr>
      <t>3</t>
    </r>
    <r>
      <rPr>
        <i/>
        <sz val="12"/>
        <rFont val="Arial Cyr"/>
        <family val="0"/>
      </rPr>
      <t>, Ом</t>
    </r>
  </si>
  <si>
    <r>
      <t>х * 10</t>
    </r>
    <r>
      <rPr>
        <i/>
        <vertAlign val="superscript"/>
        <sz val="12"/>
        <rFont val="Arial Cyr"/>
        <family val="0"/>
      </rPr>
      <t>3</t>
    </r>
    <r>
      <rPr>
        <i/>
        <sz val="12"/>
        <rFont val="Arial Cyr"/>
        <family val="0"/>
      </rPr>
      <t>, Ом</t>
    </r>
  </si>
  <si>
    <t>Фазова напруга пічного трансформатору</t>
  </si>
  <si>
    <r>
      <t>U</t>
    </r>
    <r>
      <rPr>
        <i/>
        <vertAlign val="subscript"/>
        <sz val="14"/>
        <rFont val="Arial Cyr"/>
        <family val="0"/>
      </rPr>
      <t>2ф</t>
    </r>
  </si>
  <si>
    <t>см</t>
  </si>
  <si>
    <t>Відстань "дуга-стінка"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</si>
</sst>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85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11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i/>
      <sz val="11"/>
      <name val="Arial Cyr"/>
      <family val="2"/>
    </font>
    <font>
      <i/>
      <sz val="14"/>
      <name val="Arial Cyr"/>
      <family val="2"/>
    </font>
    <font>
      <i/>
      <sz val="12"/>
      <name val="Arial Cyr"/>
      <family val="2"/>
    </font>
    <font>
      <b/>
      <i/>
      <sz val="10"/>
      <color indexed="10"/>
      <name val="Arial Cyr"/>
      <family val="2"/>
    </font>
    <font>
      <b/>
      <i/>
      <sz val="12"/>
      <name val="Arial Cyr"/>
      <family val="2"/>
    </font>
    <font>
      <b/>
      <i/>
      <sz val="8"/>
      <name val="Arial Cyr"/>
      <family val="2"/>
    </font>
    <font>
      <vertAlign val="superscript"/>
      <sz val="10"/>
      <name val="Arial CYR"/>
      <family val="2"/>
    </font>
    <font>
      <vertAlign val="subscript"/>
      <sz val="14"/>
      <name val="Arial Cyr"/>
      <family val="2"/>
    </font>
    <font>
      <sz val="10"/>
      <name val="Symbol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Symbol"/>
      <family val="1"/>
    </font>
    <font>
      <sz val="14"/>
      <color indexed="10"/>
      <name val="Arial Cyr"/>
      <family val="0"/>
    </font>
    <font>
      <i/>
      <vertAlign val="superscript"/>
      <sz val="12"/>
      <name val="Arial Cyr"/>
      <family val="0"/>
    </font>
    <font>
      <b/>
      <vertAlign val="subscript"/>
      <sz val="14"/>
      <color indexed="10"/>
      <name val="Arial Cyr"/>
      <family val="0"/>
    </font>
    <font>
      <vertAlign val="superscript"/>
      <sz val="12"/>
      <name val="Arial Cyr"/>
      <family val="0"/>
    </font>
    <font>
      <b/>
      <i/>
      <sz val="14"/>
      <name val="Arial Cyr"/>
      <family val="0"/>
    </font>
    <font>
      <sz val="16"/>
      <name val="Arial Cyr"/>
      <family val="0"/>
    </font>
    <font>
      <b/>
      <sz val="14"/>
      <color indexed="62"/>
      <name val="Arial Cyr"/>
      <family val="2"/>
    </font>
    <font>
      <sz val="12"/>
      <color indexed="62"/>
      <name val="Arial Cyr"/>
      <family val="2"/>
    </font>
    <font>
      <sz val="14"/>
      <color indexed="62"/>
      <name val="Arial Cyr"/>
      <family val="2"/>
    </font>
    <font>
      <sz val="16"/>
      <color indexed="62"/>
      <name val="Arial Cyr"/>
      <family val="2"/>
    </font>
    <font>
      <vertAlign val="superscript"/>
      <sz val="16"/>
      <color indexed="62"/>
      <name val="Arial Cyr"/>
      <family val="2"/>
    </font>
    <font>
      <sz val="10"/>
      <color indexed="62"/>
      <name val="Arial Cyr"/>
      <family val="0"/>
    </font>
    <font>
      <vertAlign val="subscript"/>
      <sz val="14"/>
      <color indexed="62"/>
      <name val="Arial Cyr"/>
      <family val="0"/>
    </font>
    <font>
      <sz val="14"/>
      <color indexed="62"/>
      <name val="Symbol"/>
      <family val="1"/>
    </font>
    <font>
      <vertAlign val="subscript"/>
      <sz val="14"/>
      <color indexed="62"/>
      <name val="Arial"/>
      <family val="2"/>
    </font>
    <font>
      <i/>
      <vertAlign val="subscript"/>
      <sz val="14"/>
      <name val="Arial Cyr"/>
      <family val="2"/>
    </font>
    <font>
      <i/>
      <sz val="14"/>
      <name val="Symbol"/>
      <family val="1"/>
    </font>
    <font>
      <i/>
      <vertAlign val="subscript"/>
      <sz val="14"/>
      <name val="Arial"/>
      <family val="2"/>
    </font>
    <font>
      <i/>
      <vertAlign val="superscript"/>
      <sz val="14"/>
      <name val="Arial Cyr"/>
      <family val="0"/>
    </font>
    <font>
      <i/>
      <sz val="14"/>
      <name val="Arial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i/>
      <sz val="10"/>
      <color indexed="8"/>
      <name val="Times New Roman"/>
      <family val="0"/>
    </font>
    <font>
      <i/>
      <sz val="8"/>
      <color indexed="8"/>
      <name val="Times New Roman"/>
      <family val="0"/>
    </font>
    <font>
      <i/>
      <sz val="11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34" borderId="10" xfId="0" applyFont="1" applyFill="1" applyBorder="1" applyAlignment="1">
      <alignment horizontal="right"/>
    </xf>
    <xf numFmtId="0" fontId="10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indent="1"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14" fontId="10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left" vertical="center" wrapText="1" indent="1"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10" fillId="33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16" fontId="9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justify" wrapText="1"/>
    </xf>
    <xf numFmtId="0" fontId="17" fillId="0" borderId="0" xfId="0" applyFont="1" applyBorder="1" applyAlignment="1">
      <alignment horizontal="center" wrapText="1"/>
    </xf>
    <xf numFmtId="0" fontId="17" fillId="33" borderId="11" xfId="0" applyFont="1" applyFill="1" applyBorder="1" applyAlignment="1">
      <alignment horizontal="justify" wrapText="1"/>
    </xf>
    <xf numFmtId="0" fontId="17" fillId="33" borderId="12" xfId="0" applyFont="1" applyFill="1" applyBorder="1" applyAlignment="1">
      <alignment horizontal="center" wrapText="1"/>
    </xf>
    <xf numFmtId="0" fontId="17" fillId="33" borderId="13" xfId="0" applyFont="1" applyFill="1" applyBorder="1" applyAlignment="1">
      <alignment horizontal="justify" wrapText="1"/>
    </xf>
    <xf numFmtId="0" fontId="17" fillId="33" borderId="14" xfId="0" applyFont="1" applyFill="1" applyBorder="1" applyAlignment="1">
      <alignment horizontal="center" wrapText="1"/>
    </xf>
    <xf numFmtId="16" fontId="17" fillId="33" borderId="14" xfId="0" applyNumberFormat="1" applyFont="1" applyFill="1" applyBorder="1" applyAlignment="1">
      <alignment horizontal="center" wrapText="1"/>
    </xf>
    <xf numFmtId="17" fontId="17" fillId="33" borderId="14" xfId="0" applyNumberFormat="1" applyFont="1" applyFill="1" applyBorder="1" applyAlignment="1">
      <alignment horizontal="center" wrapText="1"/>
    </xf>
    <xf numFmtId="0" fontId="19" fillId="33" borderId="15" xfId="0" applyFont="1" applyFill="1" applyBorder="1" applyAlignment="1">
      <alignment horizontal="justify" wrapText="1"/>
    </xf>
    <xf numFmtId="0" fontId="17" fillId="33" borderId="16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 wrapText="1"/>
    </xf>
    <xf numFmtId="17" fontId="17" fillId="33" borderId="18" xfId="0" applyNumberFormat="1" applyFont="1" applyFill="1" applyBorder="1" applyAlignment="1">
      <alignment horizontal="center" wrapText="1"/>
    </xf>
    <xf numFmtId="0" fontId="17" fillId="33" borderId="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16" fontId="17" fillId="0" borderId="0" xfId="0" applyNumberFormat="1" applyFont="1" applyBorder="1" applyAlignment="1">
      <alignment horizontal="center" wrapText="1"/>
    </xf>
    <xf numFmtId="17" fontId="17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justify" wrapText="1"/>
    </xf>
    <xf numFmtId="17" fontId="17" fillId="33" borderId="12" xfId="0" applyNumberFormat="1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3" fillId="33" borderId="12" xfId="0" applyFont="1" applyFill="1" applyBorder="1" applyAlignment="1">
      <alignment horizontal="center" wrapText="1"/>
    </xf>
    <xf numFmtId="0" fontId="17" fillId="33" borderId="15" xfId="0" applyFont="1" applyFill="1" applyBorder="1" applyAlignment="1">
      <alignment horizontal="justify" wrapText="1"/>
    </xf>
    <xf numFmtId="0" fontId="22" fillId="33" borderId="11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 horizontal="center" wrapText="1"/>
    </xf>
    <xf numFmtId="0" fontId="17" fillId="33" borderId="13" xfId="0" applyFont="1" applyFill="1" applyBorder="1" applyAlignment="1">
      <alignment horizontal="center" wrapText="1"/>
    </xf>
    <xf numFmtId="0" fontId="17" fillId="33" borderId="13" xfId="0" applyFont="1" applyFill="1" applyBorder="1" applyAlignment="1">
      <alignment horizontal="left" wrapText="1"/>
    </xf>
    <xf numFmtId="0" fontId="24" fillId="34" borderId="10" xfId="0" applyFont="1" applyFill="1" applyBorder="1" applyAlignment="1" applyProtection="1">
      <alignment horizontal="center"/>
      <protection locked="0"/>
    </xf>
    <xf numFmtId="0" fontId="24" fillId="34" borderId="19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/>
      <protection locked="0"/>
    </xf>
    <xf numFmtId="0" fontId="24" fillId="34" borderId="10" xfId="0" applyFont="1" applyFill="1" applyBorder="1" applyAlignment="1">
      <alignment horizontal="center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0" fontId="1" fillId="0" borderId="21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29" fillId="0" borderId="0" xfId="0" applyNumberFormat="1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0" fillId="0" borderId="0" xfId="0" applyFont="1" applyBorder="1" applyAlignment="1">
      <alignment horizontal="center" wrapText="1"/>
    </xf>
    <xf numFmtId="0" fontId="31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indent="1"/>
    </xf>
    <xf numFmtId="0" fontId="33" fillId="0" borderId="22" xfId="0" applyFont="1" applyBorder="1" applyAlignment="1">
      <alignment horizontal="center"/>
    </xf>
    <xf numFmtId="2" fontId="33" fillId="0" borderId="22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/>
    </xf>
    <xf numFmtId="1" fontId="33" fillId="0" borderId="22" xfId="0" applyNumberFormat="1" applyFont="1" applyBorder="1" applyAlignment="1">
      <alignment horizontal="center" vertical="center"/>
    </xf>
    <xf numFmtId="0" fontId="34" fillId="0" borderId="22" xfId="0" applyFont="1" applyBorder="1" applyAlignment="1">
      <alignment horizontal="left" indent="3"/>
    </xf>
    <xf numFmtId="0" fontId="1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0" fontId="32" fillId="0" borderId="22" xfId="0" applyFont="1" applyBorder="1" applyAlignment="1">
      <alignment horizontal="left" vertical="center" wrapText="1" indent="1"/>
    </xf>
    <xf numFmtId="1" fontId="32" fillId="0" borderId="22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1" fontId="9" fillId="0" borderId="0" xfId="0" applyNumberFormat="1" applyFont="1" applyAlignment="1">
      <alignment horizontal="center" vertical="center"/>
    </xf>
    <xf numFmtId="0" fontId="6" fillId="34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 wrapText="1"/>
    </xf>
    <xf numFmtId="0" fontId="17" fillId="33" borderId="13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 horizontal="center" wrapText="1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left" vertical="center" indent="1"/>
      <protection hidden="1"/>
    </xf>
    <xf numFmtId="0" fontId="15" fillId="33" borderId="10" xfId="0" applyFont="1" applyFill="1" applyBorder="1" applyAlignment="1" applyProtection="1">
      <alignment horizontal="center" vertical="center"/>
      <protection hidden="1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33" borderId="24" xfId="0" applyFont="1" applyFill="1" applyBorder="1" applyAlignment="1" applyProtection="1">
      <alignment horizontal="left" vertical="center" indent="1"/>
      <protection hidden="1"/>
    </xf>
    <xf numFmtId="0" fontId="2" fillId="33" borderId="25" xfId="0" applyFont="1" applyFill="1" applyBorder="1" applyAlignment="1" applyProtection="1">
      <alignment horizontal="left" vertical="center" indent="1"/>
      <protection hidden="1"/>
    </xf>
    <xf numFmtId="0" fontId="2" fillId="33" borderId="19" xfId="0" applyFont="1" applyFill="1" applyBorder="1" applyAlignment="1" applyProtection="1">
      <alignment horizontal="left" vertical="center" indent="1"/>
      <protection hidden="1"/>
    </xf>
    <xf numFmtId="0" fontId="1" fillId="33" borderId="0" xfId="0" applyFont="1" applyFill="1" applyAlignment="1" applyProtection="1">
      <alignment horizontal="center" wrapText="1"/>
      <protection/>
    </xf>
    <xf numFmtId="0" fontId="1" fillId="33" borderId="21" xfId="0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left" vertical="center" wrapText="1" indent="1"/>
      <protection hidden="1"/>
    </xf>
    <xf numFmtId="0" fontId="4" fillId="33" borderId="10" xfId="0" applyFont="1" applyFill="1" applyBorder="1" applyAlignment="1" applyProtection="1">
      <alignment horizontal="left" wrapText="1" indent="1"/>
      <protection hidden="1"/>
    </xf>
    <xf numFmtId="0" fontId="10" fillId="33" borderId="24" xfId="0" applyFont="1" applyFill="1" applyBorder="1" applyAlignment="1" applyProtection="1">
      <alignment horizontal="center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 indent="1"/>
    </xf>
    <xf numFmtId="0" fontId="5" fillId="33" borderId="21" xfId="0" applyFont="1" applyFill="1" applyBorder="1" applyAlignment="1">
      <alignment wrapText="1"/>
    </xf>
    <xf numFmtId="0" fontId="5" fillId="33" borderId="10" xfId="0" applyFont="1" applyFill="1" applyBorder="1" applyAlignment="1" applyProtection="1">
      <alignment horizontal="left" vertical="center" wrapText="1" indent="1"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24" fillId="34" borderId="24" xfId="0" applyFont="1" applyFill="1" applyBorder="1" applyAlignment="1" applyProtection="1">
      <alignment horizontal="center" vertical="center"/>
      <protection locked="0"/>
    </xf>
    <xf numFmtId="0" fontId="24" fillId="34" borderId="25" xfId="0" applyFont="1" applyFill="1" applyBorder="1" applyAlignment="1" applyProtection="1">
      <alignment horizontal="center" vertical="center"/>
      <protection locked="0"/>
    </xf>
    <xf numFmtId="0" fontId="24" fillId="34" borderId="19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 indent="1"/>
      <protection hidden="1"/>
    </xf>
    <xf numFmtId="0" fontId="2" fillId="33" borderId="24" xfId="0" applyFont="1" applyFill="1" applyBorder="1" applyAlignment="1" applyProtection="1">
      <alignment horizontal="left" vertical="center" wrapText="1" indent="1"/>
      <protection hidden="1"/>
    </xf>
    <xf numFmtId="0" fontId="2" fillId="33" borderId="19" xfId="0" applyFont="1" applyFill="1" applyBorder="1" applyAlignment="1" applyProtection="1">
      <alignment horizontal="left" vertical="center" wrapText="1" inden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center" wrapText="1"/>
    </xf>
    <xf numFmtId="0" fontId="2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4" fillId="34" borderId="24" xfId="0" applyFont="1" applyFill="1" applyBorder="1" applyAlignment="1" applyProtection="1">
      <alignment horizontal="center" vertical="center" wrapText="1"/>
      <protection locked="0"/>
    </xf>
    <xf numFmtId="0" fontId="24" fillId="34" borderId="25" xfId="0" applyFont="1" applyFill="1" applyBorder="1" applyAlignment="1" applyProtection="1">
      <alignment horizontal="center" vertical="center" wrapText="1"/>
      <protection locked="0"/>
    </xf>
    <xf numFmtId="0" fontId="24" fillId="34" borderId="19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left" vertical="center" indent="1"/>
    </xf>
    <xf numFmtId="0" fontId="2" fillId="33" borderId="25" xfId="0" applyFont="1" applyFill="1" applyBorder="1" applyAlignment="1">
      <alignment horizontal="left" vertical="center" indent="1"/>
    </xf>
    <xf numFmtId="0" fontId="2" fillId="33" borderId="19" xfId="0" applyFont="1" applyFill="1" applyBorder="1" applyAlignment="1">
      <alignment horizontal="left" vertical="center" indent="1"/>
    </xf>
    <xf numFmtId="0" fontId="1" fillId="33" borderId="10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28" fillId="0" borderId="0" xfId="0" applyFont="1" applyAlignment="1">
      <alignment horizontal="left" vertical="center" wrapText="1" indent="7"/>
    </xf>
    <xf numFmtId="0" fontId="40" fillId="0" borderId="24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 vertical="center" indent="8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8485"/>
          <c:h val="0.96675"/>
        </c:manualLayout>
      </c:layout>
      <c:lineChart>
        <c:grouping val="stacked"/>
        <c:varyColors val="0"/>
        <c:ser>
          <c:idx val="0"/>
          <c:order val="0"/>
          <c:tx>
            <c:strRef>
              <c:f>'електро (2)'!$A$16:$A$17</c:f>
              <c:strCache>
                <c:ptCount val="1"/>
                <c:pt idx="0">
                  <c:v>І2л кА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'електро (2)'!$A$18:$A$87</c:f>
              <c:numCache>
                <c:ptCount val="7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2">
                  <c:v>126</c:v>
                </c:pt>
                <c:pt idx="63">
                  <c:v>128</c:v>
                </c:pt>
                <c:pt idx="64">
                  <c:v>130</c:v>
                </c:pt>
                <c:pt idx="65">
                  <c:v>132</c:v>
                </c:pt>
                <c:pt idx="66">
                  <c:v>134</c:v>
                </c:pt>
                <c:pt idx="67">
                  <c:v>136</c:v>
                </c:pt>
                <c:pt idx="68">
                  <c:v>138</c:v>
                </c:pt>
                <c:pt idx="69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'електро (2)'!$B$16:$B$17</c:f>
              <c:strCache>
                <c:ptCount val="1"/>
                <c:pt idx="0">
                  <c:v>Pпот мВт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'електро (2)'!$B$18:$B$87</c:f>
              <c:numCache>
                <c:ptCount val="70"/>
                <c:pt idx="0">
                  <c:v>0.0132</c:v>
                </c:pt>
                <c:pt idx="1">
                  <c:v>0.0528</c:v>
                </c:pt>
                <c:pt idx="2">
                  <c:v>0.1188</c:v>
                </c:pt>
                <c:pt idx="3">
                  <c:v>0.2112</c:v>
                </c:pt>
                <c:pt idx="4">
                  <c:v>0.33</c:v>
                </c:pt>
                <c:pt idx="5">
                  <c:v>0.4752</c:v>
                </c:pt>
                <c:pt idx="6">
                  <c:v>0.6468</c:v>
                </c:pt>
                <c:pt idx="7">
                  <c:v>0.8448</c:v>
                </c:pt>
                <c:pt idx="8">
                  <c:v>1.0692000000000002</c:v>
                </c:pt>
                <c:pt idx="9">
                  <c:v>1.32</c:v>
                </c:pt>
                <c:pt idx="10">
                  <c:v>1.5972000000000002</c:v>
                </c:pt>
                <c:pt idx="11">
                  <c:v>1.9008</c:v>
                </c:pt>
                <c:pt idx="12">
                  <c:v>2.2308000000000003</c:v>
                </c:pt>
                <c:pt idx="13">
                  <c:v>2.5872</c:v>
                </c:pt>
                <c:pt idx="14">
                  <c:v>2.97</c:v>
                </c:pt>
                <c:pt idx="15">
                  <c:v>3.3792</c:v>
                </c:pt>
                <c:pt idx="16">
                  <c:v>3.8148000000000004</c:v>
                </c:pt>
                <c:pt idx="17">
                  <c:v>4.276800000000001</c:v>
                </c:pt>
                <c:pt idx="18">
                  <c:v>4.7652</c:v>
                </c:pt>
                <c:pt idx="19">
                  <c:v>5.28</c:v>
                </c:pt>
                <c:pt idx="20">
                  <c:v>5.8212</c:v>
                </c:pt>
                <c:pt idx="21">
                  <c:v>6.388800000000001</c:v>
                </c:pt>
                <c:pt idx="22">
                  <c:v>6.9828</c:v>
                </c:pt>
                <c:pt idx="23">
                  <c:v>7.6032</c:v>
                </c:pt>
                <c:pt idx="24">
                  <c:v>8.25</c:v>
                </c:pt>
                <c:pt idx="25">
                  <c:v>8.923200000000001</c:v>
                </c:pt>
                <c:pt idx="26">
                  <c:v>9.6228</c:v>
                </c:pt>
                <c:pt idx="27">
                  <c:v>10.3488</c:v>
                </c:pt>
                <c:pt idx="28">
                  <c:v>11.1012</c:v>
                </c:pt>
                <c:pt idx="29">
                  <c:v>11.88</c:v>
                </c:pt>
                <c:pt idx="30">
                  <c:v>12.6852</c:v>
                </c:pt>
                <c:pt idx="31">
                  <c:v>13.5168</c:v>
                </c:pt>
                <c:pt idx="32">
                  <c:v>14.3748</c:v>
                </c:pt>
                <c:pt idx="33">
                  <c:v>15.259200000000002</c:v>
                </c:pt>
                <c:pt idx="34">
                  <c:v>16.17</c:v>
                </c:pt>
                <c:pt idx="35">
                  <c:v>17.107200000000002</c:v>
                </c:pt>
                <c:pt idx="36">
                  <c:v>18.070800000000002</c:v>
                </c:pt>
                <c:pt idx="37">
                  <c:v>19.0608</c:v>
                </c:pt>
                <c:pt idx="38">
                  <c:v>20.0772</c:v>
                </c:pt>
                <c:pt idx="39">
                  <c:v>21.12</c:v>
                </c:pt>
                <c:pt idx="40">
                  <c:v>22.1892</c:v>
                </c:pt>
                <c:pt idx="41">
                  <c:v>23.2848</c:v>
                </c:pt>
                <c:pt idx="42">
                  <c:v>24.4068</c:v>
                </c:pt>
                <c:pt idx="43">
                  <c:v>25.555200000000003</c:v>
                </c:pt>
                <c:pt idx="44">
                  <c:v>26.73</c:v>
                </c:pt>
                <c:pt idx="45">
                  <c:v>27.9312</c:v>
                </c:pt>
                <c:pt idx="46">
                  <c:v>29.158800000000003</c:v>
                </c:pt>
                <c:pt idx="47">
                  <c:v>30.4128</c:v>
                </c:pt>
                <c:pt idx="48">
                  <c:v>31.6932</c:v>
                </c:pt>
                <c:pt idx="49">
                  <c:v>33</c:v>
                </c:pt>
                <c:pt idx="50">
                  <c:v>34.333200000000005</c:v>
                </c:pt>
                <c:pt idx="51">
                  <c:v>35.692800000000005</c:v>
                </c:pt>
                <c:pt idx="52">
                  <c:v>37.0788</c:v>
                </c:pt>
                <c:pt idx="53">
                  <c:v>38.4912</c:v>
                </c:pt>
                <c:pt idx="54">
                  <c:v>39.93</c:v>
                </c:pt>
                <c:pt idx="55">
                  <c:v>41.3952</c:v>
                </c:pt>
                <c:pt idx="56">
                  <c:v>42.8868</c:v>
                </c:pt>
                <c:pt idx="57">
                  <c:v>44.4048</c:v>
                </c:pt>
                <c:pt idx="58">
                  <c:v>45.949200000000005</c:v>
                </c:pt>
                <c:pt idx="59">
                  <c:v>47.52</c:v>
                </c:pt>
                <c:pt idx="60">
                  <c:v>49.117200000000004</c:v>
                </c:pt>
                <c:pt idx="61">
                  <c:v>50.7408</c:v>
                </c:pt>
                <c:pt idx="62">
                  <c:v>52.390800000000006</c:v>
                </c:pt>
                <c:pt idx="63">
                  <c:v>54.0672</c:v>
                </c:pt>
                <c:pt idx="64">
                  <c:v>55.77</c:v>
                </c:pt>
                <c:pt idx="65">
                  <c:v>57.4992</c:v>
                </c:pt>
                <c:pt idx="66">
                  <c:v>59.2548</c:v>
                </c:pt>
                <c:pt idx="67">
                  <c:v>61.03680000000001</c:v>
                </c:pt>
                <c:pt idx="68">
                  <c:v>62.845200000000006</c:v>
                </c:pt>
                <c:pt idx="69">
                  <c:v>64.68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'електро (2)'!$C$16:$C$17</c:f>
              <c:strCache>
                <c:ptCount val="1"/>
                <c:pt idx="0">
                  <c:v>Uд В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'електро (2)'!$C$18:$C$87</c:f>
              <c:numCache>
                <c:ptCount val="70"/>
                <c:pt idx="0">
                  <c:v>270.4405675367958</c:v>
                </c:pt>
                <c:pt idx="1">
                  <c:v>268.86537841777636</c:v>
                </c:pt>
                <c:pt idx="2">
                  <c:v>267.2901892987569</c:v>
                </c:pt>
                <c:pt idx="3">
                  <c:v>265.7150001797372</c:v>
                </c:pt>
                <c:pt idx="4">
                  <c:v>264.1398110607174</c:v>
                </c:pt>
                <c:pt idx="5">
                  <c:v>262.56462194169745</c:v>
                </c:pt>
                <c:pt idx="6">
                  <c:v>260.9894328226774</c:v>
                </c:pt>
                <c:pt idx="7">
                  <c:v>259.4142437036571</c:v>
                </c:pt>
                <c:pt idx="8">
                  <c:v>257.8390545846367</c:v>
                </c:pt>
                <c:pt idx="9">
                  <c:v>256.26386546561616</c:v>
                </c:pt>
                <c:pt idx="10">
                  <c:v>254.6886763465954</c:v>
                </c:pt>
                <c:pt idx="11">
                  <c:v>253.11348722757455</c:v>
                </c:pt>
                <c:pt idx="12">
                  <c:v>251.5382981085535</c:v>
                </c:pt>
                <c:pt idx="13">
                  <c:v>249.9631089895323</c:v>
                </c:pt>
                <c:pt idx="14">
                  <c:v>248.3879198705109</c:v>
                </c:pt>
                <c:pt idx="15">
                  <c:v>246.81273075148934</c:v>
                </c:pt>
                <c:pt idx="16">
                  <c:v>245.23754163246764</c:v>
                </c:pt>
                <c:pt idx="17">
                  <c:v>243.6623525134457</c:v>
                </c:pt>
                <c:pt idx="18">
                  <c:v>242.08716339442364</c:v>
                </c:pt>
                <c:pt idx="19">
                  <c:v>240.51197427540134</c:v>
                </c:pt>
                <c:pt idx="20">
                  <c:v>238.93678515637885</c:v>
                </c:pt>
                <c:pt idx="21">
                  <c:v>237.36159603735618</c:v>
                </c:pt>
                <c:pt idx="22">
                  <c:v>235.7864069183333</c:v>
                </c:pt>
                <c:pt idx="23">
                  <c:v>234.21121779931028</c:v>
                </c:pt>
                <c:pt idx="24">
                  <c:v>232.63602868028698</c:v>
                </c:pt>
                <c:pt idx="25">
                  <c:v>231.0608395612635</c:v>
                </c:pt>
                <c:pt idx="26">
                  <c:v>229.48565044223977</c:v>
                </c:pt>
                <c:pt idx="27">
                  <c:v>227.91046132321583</c:v>
                </c:pt>
                <c:pt idx="28">
                  <c:v>226.3352722041917</c:v>
                </c:pt>
                <c:pt idx="29">
                  <c:v>224.7600830851673</c:v>
                </c:pt>
                <c:pt idx="30">
                  <c:v>223.1848939661427</c:v>
                </c:pt>
                <c:pt idx="31">
                  <c:v>221.60970484711785</c:v>
                </c:pt>
                <c:pt idx="32">
                  <c:v>220.03451572809274</c:v>
                </c:pt>
                <c:pt idx="33">
                  <c:v>218.4593266090674</c:v>
                </c:pt>
                <c:pt idx="34">
                  <c:v>216.88413749004178</c:v>
                </c:pt>
                <c:pt idx="35">
                  <c:v>215.30894837101593</c:v>
                </c:pt>
                <c:pt idx="36">
                  <c:v>213.73375925198977</c:v>
                </c:pt>
                <c:pt idx="37">
                  <c:v>212.15857013296335</c:v>
                </c:pt>
                <c:pt idx="38">
                  <c:v>210.5833810139367</c:v>
                </c:pt>
                <c:pt idx="39">
                  <c:v>209.00819189490971</c:v>
                </c:pt>
                <c:pt idx="40">
                  <c:v>207.43300277588247</c:v>
                </c:pt>
                <c:pt idx="41">
                  <c:v>205.8578136568549</c:v>
                </c:pt>
                <c:pt idx="42">
                  <c:v>204.28262453782702</c:v>
                </c:pt>
                <c:pt idx="43">
                  <c:v>202.70743541879884</c:v>
                </c:pt>
                <c:pt idx="44">
                  <c:v>201.13224629977034</c:v>
                </c:pt>
                <c:pt idx="45">
                  <c:v>199.5570571807415</c:v>
                </c:pt>
                <c:pt idx="46">
                  <c:v>197.98186806171233</c:v>
                </c:pt>
                <c:pt idx="47">
                  <c:v>196.40667894268282</c:v>
                </c:pt>
                <c:pt idx="48">
                  <c:v>194.831489823653</c:v>
                </c:pt>
                <c:pt idx="49">
                  <c:v>193.25630070462276</c:v>
                </c:pt>
                <c:pt idx="50">
                  <c:v>191.68111158559222</c:v>
                </c:pt>
                <c:pt idx="51">
                  <c:v>190.10592246656122</c:v>
                </c:pt>
                <c:pt idx="52">
                  <c:v>188.5307333475299</c:v>
                </c:pt>
                <c:pt idx="53">
                  <c:v>186.95554422849813</c:v>
                </c:pt>
                <c:pt idx="54">
                  <c:v>185.38035510946597</c:v>
                </c:pt>
                <c:pt idx="55">
                  <c:v>183.8051659904334</c:v>
                </c:pt>
                <c:pt idx="56">
                  <c:v>182.2299768714004</c:v>
                </c:pt>
                <c:pt idx="57">
                  <c:v>180.65478775236693</c:v>
                </c:pt>
                <c:pt idx="58">
                  <c:v>179.07959863333303</c:v>
                </c:pt>
                <c:pt idx="59">
                  <c:v>177.5044095142987</c:v>
                </c:pt>
                <c:pt idx="60">
                  <c:v>175.92922039526385</c:v>
                </c:pt>
                <c:pt idx="61">
                  <c:v>174.3540312762285</c:v>
                </c:pt>
                <c:pt idx="62">
                  <c:v>172.77884215719268</c:v>
                </c:pt>
                <c:pt idx="63">
                  <c:v>171.20365303815635</c:v>
                </c:pt>
                <c:pt idx="64">
                  <c:v>169.62846391911947</c:v>
                </c:pt>
                <c:pt idx="65">
                  <c:v>168.05327480008205</c:v>
                </c:pt>
                <c:pt idx="66">
                  <c:v>166.47808568104406</c:v>
                </c:pt>
                <c:pt idx="67">
                  <c:v>164.9028965620055</c:v>
                </c:pt>
                <c:pt idx="68">
                  <c:v>163.32770744296636</c:v>
                </c:pt>
                <c:pt idx="69">
                  <c:v>161.75251832392658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'електро (2)'!$D$16:$D$17</c:f>
              <c:strCache>
                <c:ptCount val="1"/>
                <c:pt idx="0">
                  <c:v>U2лв В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'електро (2)'!$D$18:$D$87</c:f>
            </c:numRef>
          </c:val>
          <c:smooth val="0"/>
        </c:ser>
        <c:ser>
          <c:idx val="14"/>
          <c:order val="4"/>
          <c:tx>
            <c:strRef>
              <c:f>'електро (2)'!$E$16:$E$17</c:f>
              <c:strCache>
                <c:ptCount val="1"/>
                <c:pt idx="0">
                  <c:v>U2ф В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'електро (2)'!$E$18:$E$87</c:f>
            </c:numRef>
          </c:val>
          <c:smooth val="0"/>
        </c:ser>
        <c:ser>
          <c:idx val="3"/>
          <c:order val="5"/>
          <c:tx>
            <c:strRef>
              <c:f>'електро (2)'!$F$16:$F$17</c:f>
              <c:strCache>
                <c:ptCount val="1"/>
                <c:pt idx="0">
                  <c:v>Рд мВт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'електро (2)'!$F$18:$F$87</c:f>
              <c:numCache>
                <c:ptCount val="70"/>
                <c:pt idx="0">
                  <c:v>1.6226434052207748</c:v>
                </c:pt>
                <c:pt idx="1">
                  <c:v>3.2263845410133163</c:v>
                </c:pt>
                <c:pt idx="2">
                  <c:v>4.811223407377624</c:v>
                </c:pt>
                <c:pt idx="3">
                  <c:v>6.377160004313693</c:v>
                </c:pt>
                <c:pt idx="4">
                  <c:v>7.924194331821522</c:v>
                </c:pt>
                <c:pt idx="5">
                  <c:v>9.45232638990111</c:v>
                </c:pt>
                <c:pt idx="6">
                  <c:v>10.96155617855245</c:v>
                </c:pt>
                <c:pt idx="7">
                  <c:v>12.451883697775541</c:v>
                </c:pt>
                <c:pt idx="8">
                  <c:v>13.923308947570382</c:v>
                </c:pt>
                <c:pt idx="9">
                  <c:v>15.37583192793697</c:v>
                </c:pt>
                <c:pt idx="10">
                  <c:v>16.809452638875296</c:v>
                </c:pt>
                <c:pt idx="11">
                  <c:v>18.224171080385368</c:v>
                </c:pt>
                <c:pt idx="12">
                  <c:v>19.619987252467173</c:v>
                </c:pt>
                <c:pt idx="13">
                  <c:v>20.99690115512071</c:v>
                </c:pt>
                <c:pt idx="14">
                  <c:v>22.35491278834598</c:v>
                </c:pt>
                <c:pt idx="15">
                  <c:v>23.694022152142978</c:v>
                </c:pt>
                <c:pt idx="16">
                  <c:v>25.0142292465117</c:v>
                </c:pt>
                <c:pt idx="17">
                  <c:v>26.315534071452138</c:v>
                </c:pt>
                <c:pt idx="18">
                  <c:v>27.597936626964295</c:v>
                </c:pt>
                <c:pt idx="19">
                  <c:v>28.86143691304816</c:v>
                </c:pt>
                <c:pt idx="20">
                  <c:v>30.106034929703736</c:v>
                </c:pt>
                <c:pt idx="21">
                  <c:v>31.331730676931016</c:v>
                </c:pt>
                <c:pt idx="22">
                  <c:v>32.53852415473</c:v>
                </c:pt>
                <c:pt idx="23">
                  <c:v>33.72641536310068</c:v>
                </c:pt>
                <c:pt idx="24">
                  <c:v>34.89540430204305</c:v>
                </c:pt>
                <c:pt idx="25">
                  <c:v>36.04549097155711</c:v>
                </c:pt>
                <c:pt idx="26">
                  <c:v>37.176675371642844</c:v>
                </c:pt>
                <c:pt idx="27">
                  <c:v>38.28895750230026</c:v>
                </c:pt>
                <c:pt idx="28">
                  <c:v>39.38233736352936</c:v>
                </c:pt>
                <c:pt idx="29">
                  <c:v>40.45681495533012</c:v>
                </c:pt>
                <c:pt idx="30">
                  <c:v>41.51239027770254</c:v>
                </c:pt>
                <c:pt idx="31">
                  <c:v>42.549063330646625</c:v>
                </c:pt>
                <c:pt idx="32">
                  <c:v>43.56683411416236</c:v>
                </c:pt>
                <c:pt idx="33">
                  <c:v>44.56570262824975</c:v>
                </c:pt>
                <c:pt idx="34">
                  <c:v>45.54566887290878</c:v>
                </c:pt>
                <c:pt idx="35">
                  <c:v>46.50673284813944</c:v>
                </c:pt>
                <c:pt idx="36">
                  <c:v>47.44889455394173</c:v>
                </c:pt>
                <c:pt idx="37">
                  <c:v>48.372153990315645</c:v>
                </c:pt>
                <c:pt idx="38">
                  <c:v>49.27651115726118</c:v>
                </c:pt>
                <c:pt idx="39">
                  <c:v>50.161966054778325</c:v>
                </c:pt>
                <c:pt idx="40">
                  <c:v>51.02851868286709</c:v>
                </c:pt>
                <c:pt idx="41">
                  <c:v>51.87616904152743</c:v>
                </c:pt>
                <c:pt idx="42">
                  <c:v>52.70491713075937</c:v>
                </c:pt>
                <c:pt idx="43">
                  <c:v>53.5147629505629</c:v>
                </c:pt>
                <c:pt idx="44">
                  <c:v>54.305706500937994</c:v>
                </c:pt>
                <c:pt idx="45">
                  <c:v>55.07774778188466</c:v>
                </c:pt>
                <c:pt idx="46">
                  <c:v>55.830886793402875</c:v>
                </c:pt>
                <c:pt idx="47">
                  <c:v>56.56512353549265</c:v>
                </c:pt>
                <c:pt idx="48">
                  <c:v>57.28045800815398</c:v>
                </c:pt>
                <c:pt idx="49">
                  <c:v>57.976890211386824</c:v>
                </c:pt>
                <c:pt idx="50">
                  <c:v>58.65442014519122</c:v>
                </c:pt>
                <c:pt idx="51">
                  <c:v>59.313047809567095</c:v>
                </c:pt>
                <c:pt idx="52">
                  <c:v>59.9527732045145</c:v>
                </c:pt>
                <c:pt idx="53">
                  <c:v>60.57359633003339</c:v>
                </c:pt>
                <c:pt idx="54">
                  <c:v>61.17551718612377</c:v>
                </c:pt>
                <c:pt idx="55">
                  <c:v>61.75853577278563</c:v>
                </c:pt>
                <c:pt idx="56">
                  <c:v>62.322652090018934</c:v>
                </c:pt>
                <c:pt idx="57">
                  <c:v>62.8678661378237</c:v>
                </c:pt>
                <c:pt idx="58">
                  <c:v>63.394177916199894</c:v>
                </c:pt>
                <c:pt idx="59">
                  <c:v>63.901587425147525</c:v>
                </c:pt>
                <c:pt idx="60">
                  <c:v>64.39009466466656</c:v>
                </c:pt>
                <c:pt idx="61">
                  <c:v>64.859699634757</c:v>
                </c:pt>
                <c:pt idx="62">
                  <c:v>65.31040233541883</c:v>
                </c:pt>
                <c:pt idx="63">
                  <c:v>65.74220276665204</c:v>
                </c:pt>
                <c:pt idx="64">
                  <c:v>66.15510092845659</c:v>
                </c:pt>
                <c:pt idx="65">
                  <c:v>66.54909682083249</c:v>
                </c:pt>
                <c:pt idx="66">
                  <c:v>66.92419044377972</c:v>
                </c:pt>
                <c:pt idx="67">
                  <c:v>67.28038179729825</c:v>
                </c:pt>
                <c:pt idx="68">
                  <c:v>67.61767088138807</c:v>
                </c:pt>
                <c:pt idx="69">
                  <c:v>67.93605769604916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'електро (2)'!$G$16:$G$17</c:f>
              <c:strCache>
                <c:ptCount val="1"/>
                <c:pt idx="0">
                  <c:v>Ракт мВт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'електро (2)'!$G$18:$G$87</c:f>
              <c:numCache>
                <c:ptCount val="70"/>
                <c:pt idx="0">
                  <c:v>1.6358434052207749</c:v>
                </c:pt>
                <c:pt idx="1">
                  <c:v>3.2791845410133162</c:v>
                </c:pt>
                <c:pt idx="2">
                  <c:v>4.930023407377624</c:v>
                </c:pt>
                <c:pt idx="3">
                  <c:v>6.588360004313693</c:v>
                </c:pt>
                <c:pt idx="4">
                  <c:v>8.254194331821521</c:v>
                </c:pt>
                <c:pt idx="5">
                  <c:v>9.927526389901109</c:v>
                </c:pt>
                <c:pt idx="6">
                  <c:v>11.60835617855245</c:v>
                </c:pt>
                <c:pt idx="7">
                  <c:v>13.29668369777554</c:v>
                </c:pt>
                <c:pt idx="8">
                  <c:v>14.992508947570382</c:v>
                </c:pt>
                <c:pt idx="9">
                  <c:v>16.69583192793697</c:v>
                </c:pt>
                <c:pt idx="10">
                  <c:v>18.406652638875297</c:v>
                </c:pt>
                <c:pt idx="11">
                  <c:v>20.124971080385368</c:v>
                </c:pt>
                <c:pt idx="12">
                  <c:v>21.85078725246717</c:v>
                </c:pt>
                <c:pt idx="13">
                  <c:v>23.58410115512071</c:v>
                </c:pt>
                <c:pt idx="14">
                  <c:v>25.32491278834598</c:v>
                </c:pt>
                <c:pt idx="15">
                  <c:v>27.07322215214298</c:v>
                </c:pt>
                <c:pt idx="16">
                  <c:v>28.829029246511702</c:v>
                </c:pt>
                <c:pt idx="17">
                  <c:v>30.59233407145214</c:v>
                </c:pt>
                <c:pt idx="18">
                  <c:v>32.36313662696429</c:v>
                </c:pt>
                <c:pt idx="19">
                  <c:v>34.14143691304816</c:v>
                </c:pt>
                <c:pt idx="20">
                  <c:v>35.92723492970374</c:v>
                </c:pt>
                <c:pt idx="21">
                  <c:v>37.72053067693102</c:v>
                </c:pt>
                <c:pt idx="22">
                  <c:v>39.521324154729996</c:v>
                </c:pt>
                <c:pt idx="23">
                  <c:v>41.32961536310068</c:v>
                </c:pt>
                <c:pt idx="24">
                  <c:v>43.14540430204305</c:v>
                </c:pt>
                <c:pt idx="25">
                  <c:v>44.96869097155711</c:v>
                </c:pt>
                <c:pt idx="26">
                  <c:v>46.79947537164284</c:v>
                </c:pt>
                <c:pt idx="27">
                  <c:v>48.63775750230026</c:v>
                </c:pt>
                <c:pt idx="28">
                  <c:v>50.48353736352936</c:v>
                </c:pt>
                <c:pt idx="29">
                  <c:v>52.33681495533012</c:v>
                </c:pt>
                <c:pt idx="30">
                  <c:v>54.197590277702545</c:v>
                </c:pt>
                <c:pt idx="31">
                  <c:v>56.06586333064662</c:v>
                </c:pt>
                <c:pt idx="32">
                  <c:v>57.94163411416236</c:v>
                </c:pt>
                <c:pt idx="33">
                  <c:v>59.82490262824975</c:v>
                </c:pt>
                <c:pt idx="34">
                  <c:v>61.71566887290878</c:v>
                </c:pt>
                <c:pt idx="35">
                  <c:v>63.61393284813944</c:v>
                </c:pt>
                <c:pt idx="36">
                  <c:v>65.51969455394173</c:v>
                </c:pt>
                <c:pt idx="37">
                  <c:v>67.43295399031564</c:v>
                </c:pt>
                <c:pt idx="38">
                  <c:v>69.35371115726119</c:v>
                </c:pt>
                <c:pt idx="39">
                  <c:v>71.28196605477832</c:v>
                </c:pt>
                <c:pt idx="40">
                  <c:v>73.21771868286709</c:v>
                </c:pt>
                <c:pt idx="41">
                  <c:v>75.16096904152744</c:v>
                </c:pt>
                <c:pt idx="42">
                  <c:v>77.11171713075937</c:v>
                </c:pt>
                <c:pt idx="43">
                  <c:v>79.0699629505629</c:v>
                </c:pt>
                <c:pt idx="44">
                  <c:v>81.03570650093799</c:v>
                </c:pt>
                <c:pt idx="45">
                  <c:v>83.00894778188466</c:v>
                </c:pt>
                <c:pt idx="46">
                  <c:v>84.98968679340288</c:v>
                </c:pt>
                <c:pt idx="47">
                  <c:v>86.97792353549265</c:v>
                </c:pt>
                <c:pt idx="48">
                  <c:v>88.97365800815398</c:v>
                </c:pt>
                <c:pt idx="49">
                  <c:v>90.97689021138683</c:v>
                </c:pt>
                <c:pt idx="50">
                  <c:v>92.98762014519122</c:v>
                </c:pt>
                <c:pt idx="51">
                  <c:v>95.0058478095671</c:v>
                </c:pt>
                <c:pt idx="52">
                  <c:v>97.0315732045145</c:v>
                </c:pt>
                <c:pt idx="53">
                  <c:v>99.06479633003339</c:v>
                </c:pt>
                <c:pt idx="54">
                  <c:v>101.10551718612376</c:v>
                </c:pt>
                <c:pt idx="55">
                  <c:v>103.15373577278564</c:v>
                </c:pt>
                <c:pt idx="56">
                  <c:v>105.20945209001894</c:v>
                </c:pt>
                <c:pt idx="57">
                  <c:v>107.2726661378237</c:v>
                </c:pt>
                <c:pt idx="58">
                  <c:v>109.3433779161999</c:v>
                </c:pt>
                <c:pt idx="59">
                  <c:v>111.42158742514752</c:v>
                </c:pt>
                <c:pt idx="60">
                  <c:v>113.50729466466657</c:v>
                </c:pt>
                <c:pt idx="61">
                  <c:v>115.600499634757</c:v>
                </c:pt>
                <c:pt idx="62">
                  <c:v>117.70120233541883</c:v>
                </c:pt>
                <c:pt idx="63">
                  <c:v>119.80940276665204</c:v>
                </c:pt>
                <c:pt idx="64">
                  <c:v>121.9251009284566</c:v>
                </c:pt>
                <c:pt idx="65">
                  <c:v>124.04829682083249</c:v>
                </c:pt>
                <c:pt idx="66">
                  <c:v>126.17899044377972</c:v>
                </c:pt>
                <c:pt idx="67">
                  <c:v>128.31718179729825</c:v>
                </c:pt>
                <c:pt idx="68">
                  <c:v>130.46287088138808</c:v>
                </c:pt>
                <c:pt idx="69">
                  <c:v>132.61605769604915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'електро (2)'!$H$16:$H$17</c:f>
              <c:strCache>
                <c:ptCount val="1"/>
                <c:pt idx="0">
                  <c:v>hел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'електро (2)'!$H$18:$H$87</c:f>
              <c:numCache>
                <c:ptCount val="70"/>
                <c:pt idx="0">
                  <c:v>0.27043989183107064</c:v>
                </c:pt>
                <c:pt idx="1">
                  <c:v>0.46684127935420033</c:v>
                </c:pt>
                <c:pt idx="2">
                  <c:v>0.46526620474194125</c:v>
                </c:pt>
                <c:pt idx="3">
                  <c:v>0.4636910739644005</c:v>
                </c:pt>
                <c:pt idx="4">
                  <c:v>0.46211592072057206</c:v>
                </c:pt>
                <c:pt idx="5">
                  <c:v>0.46054075624345303</c:v>
                </c:pt>
                <c:pt idx="6">
                  <c:v>0.45896558534718257</c:v>
                </c:pt>
                <c:pt idx="7">
                  <c:v>0.45739041043882783</c:v>
                </c:pt>
                <c:pt idx="8">
                  <c:v>0.45581523285564585</c:v>
                </c:pt>
                <c:pt idx="9">
                  <c:v>0.4542400533999886</c:v>
                </c:pt>
                <c:pt idx="10">
                  <c:v>0.4526648725824416</c:v>
                </c:pt>
                <c:pt idx="11">
                  <c:v>0.4510896907433931</c:v>
                </c:pt>
                <c:pt idx="12">
                  <c:v>0.4495145081184947</c:v>
                </c:pt>
                <c:pt idx="13">
                  <c:v>0.4479393248760669</c:v>
                </c:pt>
                <c:pt idx="14">
                  <c:v>0.44636414113954315</c:v>
                </c:pt>
                <c:pt idx="15">
                  <c:v>0.4447889570014965</c:v>
                </c:pt>
                <c:pt idx="16">
                  <c:v>0.443213772532717</c:v>
                </c:pt>
                <c:pt idx="17">
                  <c:v>0.4416385877882612</c:v>
                </c:pt>
                <c:pt idx="18">
                  <c:v>0.44006340281159373</c:v>
                </c:pt>
                <c:pt idx="19">
                  <c:v>0.4384882176374845</c:v>
                </c:pt>
                <c:pt idx="20">
                  <c:v>0.436913032294079</c:v>
                </c:pt>
                <c:pt idx="21">
                  <c:v>0.43533784680440407</c:v>
                </c:pt>
                <c:pt idx="22">
                  <c:v>0.4337626611874801</c:v>
                </c:pt>
                <c:pt idx="23">
                  <c:v>0.432187475459156</c:v>
                </c:pt>
                <c:pt idx="24">
                  <c:v>0.4306122896327433</c:v>
                </c:pt>
                <c:pt idx="25">
                  <c:v>0.42903710371950426</c:v>
                </c:pt>
                <c:pt idx="26">
                  <c:v>0.4274619177290312</c:v>
                </c:pt>
                <c:pt idx="27">
                  <c:v>0.4258867316695445</c:v>
                </c:pt>
                <c:pt idx="28">
                  <c:v>0.42431154554812933</c:v>
                </c:pt>
                <c:pt idx="29">
                  <c:v>0.4227363593709246</c:v>
                </c:pt>
                <c:pt idx="30">
                  <c:v>0.4211611731432758</c:v>
                </c:pt>
                <c:pt idx="31">
                  <c:v>0.4195859868698585</c:v>
                </c:pt>
                <c:pt idx="32">
                  <c:v>0.41801080055478024</c:v>
                </c:pt>
                <c:pt idx="33">
                  <c:v>0.41643561420166386</c:v>
                </c:pt>
                <c:pt idx="34">
                  <c:v>0.4148604278137166</c:v>
                </c:pt>
                <c:pt idx="35">
                  <c:v>0.4132852413937878</c:v>
                </c:pt>
                <c:pt idx="36">
                  <c:v>0.4117100549444172</c:v>
                </c:pt>
                <c:pt idx="37">
                  <c:v>0.4101348684678758</c:v>
                </c:pt>
                <c:pt idx="38">
                  <c:v>0.4085596819661999</c:v>
                </c:pt>
                <c:pt idx="39">
                  <c:v>0.4069844954412209</c:v>
                </c:pt>
                <c:pt idx="40">
                  <c:v>0.40540930889458965</c:v>
                </c:pt>
                <c:pt idx="41">
                  <c:v>0.40383412232779825</c:v>
                </c:pt>
                <c:pt idx="42">
                  <c:v>0.40225893574219845</c:v>
                </c:pt>
                <c:pt idx="43">
                  <c:v>0.4006837491390173</c:v>
                </c:pt>
                <c:pt idx="44">
                  <c:v>0.3991085625193711</c:v>
                </c:pt>
                <c:pt idx="45">
                  <c:v>0.39753337588427773</c:v>
                </c:pt>
                <c:pt idx="46">
                  <c:v>0.395958189234666</c:v>
                </c:pt>
                <c:pt idx="47">
                  <c:v>0.3943830025713861</c:v>
                </c:pt>
                <c:pt idx="48">
                  <c:v>0.39280781589521674</c:v>
                </c:pt>
                <c:pt idx="49">
                  <c:v>0.3912326292068727</c:v>
                </c:pt>
                <c:pt idx="50">
                  <c:v>0.38965744250701045</c:v>
                </c:pt>
                <c:pt idx="51">
                  <c:v>0.3880822557962344</c:v>
                </c:pt>
                <c:pt idx="52">
                  <c:v>0.38650706907510113</c:v>
                </c:pt>
                <c:pt idx="53">
                  <c:v>0.38493188234412407</c:v>
                </c:pt>
                <c:pt idx="54">
                  <c:v>0.38335669560377716</c:v>
                </c:pt>
                <c:pt idx="55">
                  <c:v>0.3817815088544986</c:v>
                </c:pt>
                <c:pt idx="56">
                  <c:v>0.38020632209669325</c:v>
                </c:pt>
                <c:pt idx="57">
                  <c:v>0.3786311353307361</c:v>
                </c:pt>
                <c:pt idx="58">
                  <c:v>0.37705594855697455</c:v>
                </c:pt>
                <c:pt idx="59">
                  <c:v>0.37548076177573025</c:v>
                </c:pt>
                <c:pt idx="60">
                  <c:v>0.3739055749873015</c:v>
                </c:pt>
                <c:pt idx="61">
                  <c:v>0.3723303881919647</c:v>
                </c:pt>
                <c:pt idx="62">
                  <c:v>0.3707552013899762</c:v>
                </c:pt>
                <c:pt idx="63">
                  <c:v>0.36918001458157396</c:v>
                </c:pt>
                <c:pt idx="64">
                  <c:v>0.3676048277669783</c:v>
                </c:pt>
                <c:pt idx="65">
                  <c:v>0.36602964094639345</c:v>
                </c:pt>
                <c:pt idx="66">
                  <c:v>0.36445445412000854</c:v>
                </c:pt>
                <c:pt idx="67">
                  <c:v>0.3628792672879988</c:v>
                </c:pt>
                <c:pt idx="68">
                  <c:v>0.3613040804505259</c:v>
                </c:pt>
                <c:pt idx="69">
                  <c:v>0.3597288936077396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'електро (2)'!$I$16:$I$17</c:f>
              <c:strCache>
                <c:ptCount val="1"/>
                <c:pt idx="0">
                  <c:v>Соs Y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'електро (2)'!$I$18:$I$87</c:f>
              <c:numCache>
                <c:ptCount val="70"/>
                <c:pt idx="0">
                  <c:v>0.020134874052887598</c:v>
                </c:pt>
                <c:pt idx="1">
                  <c:v>0.027653785787032252</c:v>
                </c:pt>
                <c:pt idx="2">
                  <c:v>0.06205893735957049</c:v>
                </c:pt>
                <c:pt idx="3">
                  <c:v>0.1100432247203686</c:v>
                </c:pt>
                <c:pt idx="4">
                  <c:v>0.17150008462766614</c:v>
                </c:pt>
                <c:pt idx="5">
                  <c:v>0.2463214959276306</c:v>
                </c:pt>
                <c:pt idx="6">
                  <c:v>0.33439795453632115</c:v>
                </c:pt>
                <c:pt idx="7">
                  <c:v>0.43561844790470133</c:v>
                </c:pt>
                <c:pt idx="8">
                  <c:v>0.5498704289541959</c:v>
                </c:pt>
                <c:pt idx="9">
                  <c:v>0.6770397894699386</c:v>
                </c:pt>
                <c:pt idx="10">
                  <c:v>0.817010832938502</c:v>
                </c:pt>
                <c:pt idx="11">
                  <c:v>0.969666246816531</c:v>
                </c:pt>
                <c:pt idx="12">
                  <c:v>1.1348870742163173</c:v>
                </c:pt>
                <c:pt idx="13">
                  <c:v>1.3125526849939673</c:v>
                </c:pt>
                <c:pt idx="14">
                  <c:v>1.5025407462254021</c:v>
                </c:pt>
                <c:pt idx="15">
                  <c:v>1.7047271920550153</c:v>
                </c:pt>
                <c:pt idx="16">
                  <c:v>1.9189861929013814</c:v>
                </c:pt>
                <c:pt idx="17">
                  <c:v>2.1451901240039626</c:v>
                </c:pt>
                <c:pt idx="18">
                  <c:v>2.383209533294304</c:v>
                </c:pt>
                <c:pt idx="19">
                  <c:v>2.632913108574725</c:v>
                </c:pt>
                <c:pt idx="20">
                  <c:v>2.8941676439870343</c:v>
                </c:pt>
                <c:pt idx="21">
                  <c:v>3.1668380057532906</c:v>
                </c:pt>
                <c:pt idx="22">
                  <c:v>3.4507870971700916</c:v>
                </c:pt>
                <c:pt idx="23">
                  <c:v>3.74587582283736</c:v>
                </c:pt>
                <c:pt idx="24">
                  <c:v>4.051963052102018</c:v>
                </c:pt>
                <c:pt idx="25">
                  <c:v>4.3689055816963736</c:v>
                </c:pt>
                <c:pt idx="26">
                  <c:v>4.696558097550447</c:v>
                </c:pt>
                <c:pt idx="27">
                  <c:v>5.034773135756852</c:v>
                </c:pt>
                <c:pt idx="28">
                  <c:v>5.383401042666207</c:v>
                </c:pt>
                <c:pt idx="29">
                  <c:v>5.742289934090395</c:v>
                </c:pt>
                <c:pt idx="30">
                  <c:v>6.111285653590331</c:v>
                </c:pt>
                <c:pt idx="31">
                  <c:v>6.490231729824153</c:v>
                </c:pt>
                <c:pt idx="32">
                  <c:v>6.878969332931073</c:v>
                </c:pt>
                <c:pt idx="33">
                  <c:v>7.277337229925348</c:v>
                </c:pt>
                <c:pt idx="34">
                  <c:v>7.685171739074057</c:v>
                </c:pt>
                <c:pt idx="35">
                  <c:v>8.102306683231584</c:v>
                </c:pt>
                <c:pt idx="36">
                  <c:v>8.528573342102845</c:v>
                </c:pt>
                <c:pt idx="37">
                  <c:v>8.963800403406493</c:v>
                </c:pt>
                <c:pt idx="38">
                  <c:v>9.407813912908365</c:v>
                </c:pt>
                <c:pt idx="39">
                  <c:v>9.86043722329461</c:v>
                </c:pt>
                <c:pt idx="40">
                  <c:v>10.321490941852922</c:v>
                </c:pt>
                <c:pt idx="41">
                  <c:v>10.79079287692931</c:v>
                </c:pt>
                <c:pt idx="42">
                  <c:v>11.268157983126887</c:v>
                </c:pt>
                <c:pt idx="43">
                  <c:v>11.753398305212027</c:v>
                </c:pt>
                <c:pt idx="44">
                  <c:v>12.246322920692185</c:v>
                </c:pt>
                <c:pt idx="45">
                  <c:v>12.746737881028544</c:v>
                </c:pt>
                <c:pt idx="46">
                  <c:v>13.254446151445455</c:v>
                </c:pt>
                <c:pt idx="47">
                  <c:v>13.76924754929748</c:v>
                </c:pt>
                <c:pt idx="48">
                  <c:v>14.290938680953486</c:v>
                </c:pt>
                <c:pt idx="49">
                  <c:v>14.819312877156031</c:v>
                </c:pt>
                <c:pt idx="50">
                  <c:v>15.35416012681296</c:v>
                </c:pt>
                <c:pt idx="51">
                  <c:v>15.895267009176473</c:v>
                </c:pt>
                <c:pt idx="52">
                  <c:v>16.44241662436395</c:v>
                </c:pt>
                <c:pt idx="53">
                  <c:v>16.995388522172732</c:v>
                </c:pt>
                <c:pt idx="54">
                  <c:v>17.55395862914002</c:v>
                </c:pt>
                <c:pt idx="55">
                  <c:v>18.11789917379709</c:v>
                </c:pt>
                <c:pt idx="56">
                  <c:v>18.686978610065452</c:v>
                </c:pt>
                <c:pt idx="57">
                  <c:v>19.260961538740982</c:v>
                </c:pt>
                <c:pt idx="58">
                  <c:v>19.839608627009873</c:v>
                </c:pt>
                <c:pt idx="59">
                  <c:v>20.422676525938858</c:v>
                </c:pt>
                <c:pt idx="60">
                  <c:v>21.009917785879754</c:v>
                </c:pt>
                <c:pt idx="61">
                  <c:v>21.601080769726792</c:v>
                </c:pt>
                <c:pt idx="62">
                  <c:v>22.19590956396259</c:v>
                </c:pt>
                <c:pt idx="63">
                  <c:v>22.79414388742699</c:v>
                </c:pt>
                <c:pt idx="64">
                  <c:v>23.395518997740286</c:v>
                </c:pt>
                <c:pt idx="65">
                  <c:v>23.999765595310283</c:v>
                </c:pt>
                <c:pt idx="66">
                  <c:v>24.606609724849974</c:v>
                </c:pt>
                <c:pt idx="67">
                  <c:v>25.21577267433034</c:v>
                </c:pt>
                <c:pt idx="68">
                  <c:v>25.82697087128986</c:v>
                </c:pt>
                <c:pt idx="69">
                  <c:v>26.439915776419838</c:v>
                </c:pt>
              </c:numCache>
            </c:numRef>
          </c:val>
          <c:smooth val="0"/>
        </c:ser>
        <c:ser>
          <c:idx val="7"/>
          <c:order val="9"/>
          <c:tx>
            <c:strRef>
              <c:f>'електро (2)'!$J$16:$J$17</c:f>
              <c:strCache>
                <c:ptCount val="1"/>
                <c:pt idx="0">
                  <c:v>q т/год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'електро (2)'!$J$18:$J$87</c:f>
              <c:numCache>
                <c:ptCount val="70"/>
                <c:pt idx="0">
                  <c:v>-0.011452458032507617</c:v>
                </c:pt>
                <c:pt idx="1">
                  <c:v>-0.0075786871731053414</c:v>
                </c:pt>
                <c:pt idx="2">
                  <c:v>-0.00375057396932682</c:v>
                </c:pt>
                <c:pt idx="3">
                  <c:v>3.188157882793658E-05</c:v>
                </c:pt>
                <c:pt idx="4">
                  <c:v>0.003768679471358924</c:v>
                </c:pt>
                <c:pt idx="5">
                  <c:v>0.0074598197082661405</c:v>
                </c:pt>
                <c:pt idx="6">
                  <c:v>0.01110530228954957</c:v>
                </c:pt>
                <c:pt idx="7">
                  <c:v>0.014705127215209212</c:v>
                </c:pt>
                <c:pt idx="8">
                  <c:v>0.018259294485245058</c:v>
                </c:pt>
                <c:pt idx="9">
                  <c:v>0.021767804099657107</c:v>
                </c:pt>
                <c:pt idx="10">
                  <c:v>0.025230656058445336</c:v>
                </c:pt>
                <c:pt idx="11">
                  <c:v>0.02864785036160976</c:v>
                </c:pt>
                <c:pt idx="12">
                  <c:v>0.03201938700915035</c:v>
                </c:pt>
                <c:pt idx="13">
                  <c:v>0.035345266001067105</c:v>
                </c:pt>
                <c:pt idx="14">
                  <c:v>0.038625487337360036</c:v>
                </c:pt>
                <c:pt idx="15">
                  <c:v>0.0418600510180291</c:v>
                </c:pt>
                <c:pt idx="16">
                  <c:v>0.045048957043074336</c:v>
                </c:pt>
                <c:pt idx="17">
                  <c:v>0.04819220541249568</c:v>
                </c:pt>
                <c:pt idx="18">
                  <c:v>0.05128979612629316</c:v>
                </c:pt>
                <c:pt idx="19">
                  <c:v>0.05434172918446674</c:v>
                </c:pt>
                <c:pt idx="20">
                  <c:v>0.05734800458701645</c:v>
                </c:pt>
                <c:pt idx="21">
                  <c:v>0.06030862233394224</c:v>
                </c:pt>
                <c:pt idx="22">
                  <c:v>0.06322358242524413</c:v>
                </c:pt>
                <c:pt idx="23">
                  <c:v>0.0660928848609221</c:v>
                </c:pt>
                <c:pt idx="24">
                  <c:v>0.06891652964097614</c:v>
                </c:pt>
                <c:pt idx="25">
                  <c:v>0.07169451676540622</c:v>
                </c:pt>
                <c:pt idx="26">
                  <c:v>0.07442684623421235</c:v>
                </c:pt>
                <c:pt idx="27">
                  <c:v>0.07711351804739452</c:v>
                </c:pt>
                <c:pt idx="28">
                  <c:v>0.07975453220495272</c:v>
                </c:pt>
                <c:pt idx="29">
                  <c:v>0.08234988870688692</c:v>
                </c:pt>
                <c:pt idx="30">
                  <c:v>0.08489958755319714</c:v>
                </c:pt>
                <c:pt idx="31">
                  <c:v>0.08740362874388333</c:v>
                </c:pt>
                <c:pt idx="32">
                  <c:v>0.08986201227894548</c:v>
                </c:pt>
                <c:pt idx="33">
                  <c:v>0.09227473815838363</c:v>
                </c:pt>
                <c:pt idx="34">
                  <c:v>0.0946418063821977</c:v>
                </c:pt>
                <c:pt idx="35">
                  <c:v>0.09696321695038772</c:v>
                </c:pt>
                <c:pt idx="36">
                  <c:v>0.09923896986295362</c:v>
                </c:pt>
                <c:pt idx="37">
                  <c:v>0.10146906511989545</c:v>
                </c:pt>
                <c:pt idx="38">
                  <c:v>0.10365350272121317</c:v>
                </c:pt>
                <c:pt idx="39">
                  <c:v>0.10579228266690675</c:v>
                </c:pt>
                <c:pt idx="40">
                  <c:v>0.10788540495697622</c:v>
                </c:pt>
                <c:pt idx="41">
                  <c:v>0.10993286959142151</c:v>
                </c:pt>
                <c:pt idx="42">
                  <c:v>0.11193467657024261</c:v>
                </c:pt>
                <c:pt idx="43">
                  <c:v>0.11389082589343953</c:v>
                </c:pt>
                <c:pt idx="44">
                  <c:v>0.11580131756101224</c:v>
                </c:pt>
                <c:pt idx="45">
                  <c:v>0.1176661515729607</c:v>
                </c:pt>
                <c:pt idx="46">
                  <c:v>0.11948532792928489</c:v>
                </c:pt>
                <c:pt idx="47">
                  <c:v>0.12125884662998485</c:v>
                </c:pt>
                <c:pt idx="48">
                  <c:v>0.12298670767506051</c:v>
                </c:pt>
                <c:pt idx="49">
                  <c:v>0.12466891106451182</c:v>
                </c:pt>
                <c:pt idx="50">
                  <c:v>0.12630545679833885</c:v>
                </c:pt>
                <c:pt idx="51">
                  <c:v>0.12789634487654147</c:v>
                </c:pt>
                <c:pt idx="52">
                  <c:v>0.12944157529911973</c:v>
                </c:pt>
                <c:pt idx="53">
                  <c:v>0.13094114806607357</c:v>
                </c:pt>
                <c:pt idx="54">
                  <c:v>0.132395063177403</c:v>
                </c:pt>
                <c:pt idx="55">
                  <c:v>0.13380332063310796</c:v>
                </c:pt>
                <c:pt idx="56">
                  <c:v>0.13516592043318842</c:v>
                </c:pt>
                <c:pt idx="57">
                  <c:v>0.13648286257764436</c:v>
                </c:pt>
                <c:pt idx="58">
                  <c:v>0.13775414706647576</c:v>
                </c:pt>
                <c:pt idx="59">
                  <c:v>0.1389797738996826</c:v>
                </c:pt>
                <c:pt idx="60">
                  <c:v>0.1401597430772648</c:v>
                </c:pt>
                <c:pt idx="61">
                  <c:v>0.1412940545992224</c:v>
                </c:pt>
                <c:pt idx="62">
                  <c:v>0.1423827084655553</c:v>
                </c:pt>
                <c:pt idx="63">
                  <c:v>0.14342570467626356</c:v>
                </c:pt>
                <c:pt idx="64">
                  <c:v>0.144423043231347</c:v>
                </c:pt>
                <c:pt idx="65">
                  <c:v>0.1453747241308057</c:v>
                </c:pt>
                <c:pt idx="66">
                  <c:v>0.14628074737463959</c:v>
                </c:pt>
                <c:pt idx="67">
                  <c:v>0.1471411129628486</c:v>
                </c:pt>
                <c:pt idx="68">
                  <c:v>0.1479558208954327</c:v>
                </c:pt>
                <c:pt idx="69">
                  <c:v>0.14872487117239186</c:v>
                </c:pt>
              </c:numCache>
            </c:numRef>
          </c:val>
          <c:smooth val="0"/>
        </c:ser>
        <c:ser>
          <c:idx val="8"/>
          <c:order val="10"/>
          <c:tx>
            <c:strRef>
              <c:f>'електро (2)'!$K$16:$K$17</c:f>
              <c:strCache>
                <c:ptCount val="1"/>
                <c:pt idx="0">
                  <c:v>W кВт*год/т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'електро (2)'!$K$18:$K$87</c:f>
              <c:numCache>
                <c:ptCount val="70"/>
                <c:pt idx="0">
                  <c:v>-142.83775592780694</c:v>
                </c:pt>
                <c:pt idx="1">
                  <c:v>-432.68503714604196</c:v>
                </c:pt>
                <c:pt idx="2">
                  <c:v>-1314.471717581536</c:v>
                </c:pt>
                <c:pt idx="3">
                  <c:v>206650.9955441909</c:v>
                </c:pt>
                <c:pt idx="4">
                  <c:v>2190.208637946382</c:v>
                </c:pt>
                <c:pt idx="5">
                  <c:v>1330.7997750804261</c:v>
                </c:pt>
                <c:pt idx="6">
                  <c:v>1045.298531808204</c:v>
                </c:pt>
                <c:pt idx="7">
                  <c:v>904.2209226196325</c:v>
                </c:pt>
                <c:pt idx="8">
                  <c:v>821.0891696656464</c:v>
                </c:pt>
                <c:pt idx="9">
                  <c:v>766.9966089138024</c:v>
                </c:pt>
                <c:pt idx="10">
                  <c:v>729.535236667543</c:v>
                </c:pt>
                <c:pt idx="11">
                  <c:v>702.4949804734501</c:v>
                </c:pt>
                <c:pt idx="12">
                  <c:v>682.4236593356005</c:v>
                </c:pt>
                <c:pt idx="13">
                  <c:v>667.2492195817308</c:v>
                </c:pt>
                <c:pt idx="14">
                  <c:v>655.6529000438206</c:v>
                </c:pt>
                <c:pt idx="15">
                  <c:v>646.7555937875603</c:v>
                </c:pt>
                <c:pt idx="16">
                  <c:v>639.9488720448362</c:v>
                </c:pt>
                <c:pt idx="17">
                  <c:v>634.7983830497183</c:v>
                </c:pt>
                <c:pt idx="18">
                  <c:v>630.9858699238166</c:v>
                </c:pt>
                <c:pt idx="19">
                  <c:v>628.2729207448056</c:v>
                </c:pt>
                <c:pt idx="20">
                  <c:v>626.4775067315531</c:v>
                </c:pt>
                <c:pt idx="21">
                  <c:v>625.4583377491872</c:v>
                </c:pt>
                <c:pt idx="22">
                  <c:v>625.1041563717177</c:v>
                </c:pt>
                <c:pt idx="23">
                  <c:v>625.3262427577453</c:v>
                </c:pt>
                <c:pt idx="24">
                  <c:v>626.0530605184422</c:v>
                </c:pt>
                <c:pt idx="25">
                  <c:v>627.226362633847</c:v>
                </c:pt>
                <c:pt idx="26">
                  <c:v>628.7983132372761</c:v>
                </c:pt>
                <c:pt idx="27">
                  <c:v>630.7293290964516</c:v>
                </c:pt>
                <c:pt idx="28">
                  <c:v>632.9864393636849</c:v>
                </c:pt>
                <c:pt idx="29">
                  <c:v>635.5420241260532</c:v>
                </c:pt>
                <c:pt idx="30">
                  <c:v>638.3728335987844</c:v>
                </c:pt>
                <c:pt idx="31">
                  <c:v>641.4592178424882</c:v>
                </c:pt>
                <c:pt idx="32">
                  <c:v>644.7845162236367</c:v>
                </c:pt>
                <c:pt idx="33">
                  <c:v>648.334569376552</c:v>
                </c:pt>
                <c:pt idx="34">
                  <c:v>652.0973260345294</c:v>
                </c:pt>
                <c:pt idx="35">
                  <c:v>656.0625240052442</c:v>
                </c:pt>
                <c:pt idx="36">
                  <c:v>660.2214295898344</c:v>
                </c:pt>
                <c:pt idx="37">
                  <c:v>664.5666234397363</c:v>
                </c:pt>
                <c:pt idx="38">
                  <c:v>669.0918235903246</c:v>
                </c:pt>
                <c:pt idx="39">
                  <c:v>673.7917384693721</c:v>
                </c:pt>
                <c:pt idx="40">
                  <c:v>678.6619442367175</c:v>
                </c:pt>
                <c:pt idx="41">
                  <c:v>683.6987820009798</c:v>
                </c:pt>
                <c:pt idx="42">
                  <c:v>688.8992713743116</c:v>
                </c:pt>
                <c:pt idx="43">
                  <c:v>694.2610375355753</c:v>
                </c:pt>
                <c:pt idx="44">
                  <c:v>699.7822495261568</c:v>
                </c:pt>
                <c:pt idx="45">
                  <c:v>705.4615679379442</c:v>
                </c:pt>
                <c:pt idx="46">
                  <c:v>711.2981004973465</c:v>
                </c:pt>
                <c:pt idx="47">
                  <c:v>717.2913643233085</c:v>
                </c:pt>
                <c:pt idx="48">
                  <c:v>723.4412538567062</c:v>
                </c:pt>
                <c:pt idx="49">
                  <c:v>729.7480136351674</c:v>
                </c:pt>
                <c:pt idx="50">
                  <c:v>736.2122152303888</c:v>
                </c:pt>
                <c:pt idx="51">
                  <c:v>742.834737781415</c:v>
                </c:pt>
                <c:pt idx="52">
                  <c:v>749.6167516525455</c:v>
                </c:pt>
                <c:pt idx="53">
                  <c:v>756.5597048228475</c:v>
                </c:pt>
                <c:pt idx="54">
                  <c:v>763.6653116789352</c:v>
                </c:pt>
                <c:pt idx="55">
                  <c:v>770.93554393643</c:v>
                </c:pt>
                <c:pt idx="56">
                  <c:v>778.372623460388</c:v>
                </c:pt>
                <c:pt idx="57">
                  <c:v>785.9790167926532</c:v>
                </c:pt>
                <c:pt idx="58">
                  <c:v>793.7574312258945</c:v>
                </c:pt>
                <c:pt idx="59">
                  <c:v>801.7108122910969</c:v>
                </c:pt>
                <c:pt idx="60">
                  <c:v>809.8423425483469</c:v>
                </c:pt>
                <c:pt idx="61">
                  <c:v>818.1554415906272</c:v>
                </c:pt>
                <c:pt idx="62">
                  <c:v>826.653767187556</c:v>
                </c:pt>
                <c:pt idx="63">
                  <c:v>835.3412175110622</c:v>
                </c:pt>
                <c:pt idx="64">
                  <c:v>844.2219343982968</c:v>
                </c:pt>
                <c:pt idx="65">
                  <c:v>853.3003076189224</c:v>
                </c:pt>
                <c:pt idx="66">
                  <c:v>862.580980124628</c:v>
                </c:pt>
                <c:pt idx="67">
                  <c:v>872.0688542684655</c:v>
                </c:pt>
                <c:pt idx="68">
                  <c:v>881.7690989906528</c:v>
                </c:pt>
                <c:pt idx="69">
                  <c:v>891.6871579759484</c:v>
                </c:pt>
              </c:numCache>
            </c:numRef>
          </c:val>
          <c:smooth val="0"/>
        </c:ser>
        <c:ser>
          <c:idx val="9"/>
          <c:order val="11"/>
          <c:tx>
            <c:strRef>
              <c:f>'електро (2)'!$L$16:$L$17</c:f>
              <c:strCache>
                <c:ptCount val="1"/>
                <c:pt idx="0">
                  <c:v>t год/т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'електро (2)'!$L$18:$L$87</c:f>
              <c:numCache>
                <c:ptCount val="70"/>
                <c:pt idx="0">
                  <c:v>-0.08731749962859643</c:v>
                </c:pt>
                <c:pt idx="1">
                  <c:v>-0.13194897442775086</c:v>
                </c:pt>
                <c:pt idx="2">
                  <c:v>-0.2666258573163102</c:v>
                </c:pt>
                <c:pt idx="3">
                  <c:v>31.36607523099638</c:v>
                </c:pt>
                <c:pt idx="4">
                  <c:v>0.2653449325154247</c:v>
                </c:pt>
                <c:pt idx="5">
                  <c:v>0.13405149710145295</c:v>
                </c:pt>
                <c:pt idx="6">
                  <c:v>0.09004707606573041</c:v>
                </c:pt>
                <c:pt idx="7">
                  <c:v>0.06800349193618133</c:v>
                </c:pt>
                <c:pt idx="8">
                  <c:v>0.05476662862347056</c:v>
                </c:pt>
                <c:pt idx="9">
                  <c:v>0.045939406447329814</c:v>
                </c:pt>
                <c:pt idx="10">
                  <c:v>0.03963432412076637</c:v>
                </c:pt>
                <c:pt idx="11">
                  <c:v>0.034906633041482026</c:v>
                </c:pt>
                <c:pt idx="12">
                  <c:v>0.03123107883715028</c:v>
                </c:pt>
                <c:pt idx="13">
                  <c:v>0.028292331990649303</c:v>
                </c:pt>
                <c:pt idx="14">
                  <c:v>0.02588964098409607</c:v>
                </c:pt>
                <c:pt idx="15">
                  <c:v>0.023889125208406952</c:v>
                </c:pt>
                <c:pt idx="16">
                  <c:v>0.022198072178315535</c:v>
                </c:pt>
                <c:pt idx="17">
                  <c:v>0.02075024355994116</c:v>
                </c:pt>
                <c:pt idx="18">
                  <c:v>0.01949705546767344</c:v>
                </c:pt>
                <c:pt idx="19">
                  <c:v>0.018402064398897414</c:v>
                </c:pt>
                <c:pt idx="20">
                  <c:v>0.017437398340210068</c:v>
                </c:pt>
                <c:pt idx="21">
                  <c:v>0.016581376945783606</c:v>
                </c:pt>
                <c:pt idx="22">
                  <c:v>0.015816882904134782</c:v>
                </c:pt>
                <c:pt idx="23">
                  <c:v>0.015130221688828981</c:v>
                </c:pt>
                <c:pt idx="24">
                  <c:v>0.014510306964229723</c:v>
                </c:pt>
                <c:pt idx="25">
                  <c:v>0.013948068068749665</c:v>
                </c:pt>
                <c:pt idx="26">
                  <c:v>0.013436012011756081</c:v>
                </c:pt>
                <c:pt idx="27">
                  <c:v>0.01296789493361453</c:v>
                </c:pt>
                <c:pt idx="28">
                  <c:v>0.01253847238963431</c:v>
                </c:pt>
                <c:pt idx="29">
                  <c:v>0.01214330724306577</c:v>
                </c:pt>
                <c:pt idx="30">
                  <c:v>0.01177862023621035</c:v>
                </c:pt>
                <c:pt idx="31">
                  <c:v>0.011441172573398242</c:v>
                </c:pt>
                <c:pt idx="32">
                  <c:v>0.011128172791143899</c:v>
                </c:pt>
                <c:pt idx="33">
                  <c:v>0.010837202250127924</c:v>
                </c:pt>
                <c:pt idx="34">
                  <c:v>0.010566155045283476</c:v>
                </c:pt>
                <c:pt idx="35">
                  <c:v>0.010313189180920647</c:v>
                </c:pt>
                <c:pt idx="36">
                  <c:v>0.010076686622009211</c:v>
                </c:pt>
                <c:pt idx="37">
                  <c:v>0.009855220394692747</c:v>
                </c:pt>
                <c:pt idx="38">
                  <c:v>0.009647527326593136</c:v>
                </c:pt>
                <c:pt idx="39">
                  <c:v>0.009452485330603548</c:v>
                </c:pt>
                <c:pt idx="40">
                  <c:v>0.009269094372856009</c:v>
                </c:pt>
                <c:pt idx="41">
                  <c:v>0.009096460446421695</c:v>
                </c:pt>
                <c:pt idx="42">
                  <c:v>0.008933782011443682</c:v>
                </c:pt>
                <c:pt idx="43">
                  <c:v>0.008780338470243749</c:v>
                </c:pt>
                <c:pt idx="44">
                  <c:v>0.00863548033011913</c:v>
                </c:pt>
                <c:pt idx="45">
                  <c:v>0.008498620772686143</c:v>
                </c:pt>
                <c:pt idx="46">
                  <c:v>0.00836922840092828</c:v>
                </c:pt>
                <c:pt idx="47">
                  <c:v>0.008246820976711488</c:v>
                </c:pt>
                <c:pt idx="48">
                  <c:v>0.008130959994815619</c:v>
                </c:pt>
                <c:pt idx="49">
                  <c:v>0.008021245966306186</c:v>
                </c:pt>
                <c:pt idx="50">
                  <c:v>0.007917314305720098</c:v>
                </c:pt>
                <c:pt idx="51">
                  <c:v>0.00781883173413049</c:v>
                </c:pt>
                <c:pt idx="52">
                  <c:v>0.007725493124517008</c:v>
                </c:pt>
                <c:pt idx="53">
                  <c:v>0.007637018727645453</c:v>
                </c:pt>
                <c:pt idx="54">
                  <c:v>0.007553151726360434</c:v>
                </c:pt>
                <c:pt idx="55">
                  <c:v>0.00747365607421676</c:v>
                </c:pt>
                <c:pt idx="56">
                  <c:v>0.007398314581035929</c:v>
                </c:pt>
                <c:pt idx="57">
                  <c:v>0.007326927213525475</c:v>
                </c:pt>
                <c:pt idx="58">
                  <c:v>0.007259309583742927</c:v>
                </c:pt>
                <c:pt idx="59">
                  <c:v>0.007195291602084581</c:v>
                </c:pt>
                <c:pt idx="60">
                  <c:v>0.007134716274763271</c:v>
                </c:pt>
                <c:pt idx="61">
                  <c:v>0.007077438628514688</c:v>
                </c:pt>
                <c:pt idx="62">
                  <c:v>0.007023324747624929</c:v>
                </c:pt>
                <c:pt idx="63">
                  <c:v>0.006972250910373227</c:v>
                </c:pt>
                <c:pt idx="64">
                  <c:v>0.0069241028136910925</c:v>
                </c:pt>
                <c:pt idx="65">
                  <c:v>0.006878774876299797</c:v>
                </c:pt>
                <c:pt idx="66">
                  <c:v>0.006836169611841675</c:v>
                </c:pt>
                <c:pt idx="67">
                  <c:v>0.006796197064599398</c:v>
                </c:pt>
                <c:pt idx="68">
                  <c:v>0.006758774301328414</c:v>
                </c:pt>
                <c:pt idx="69">
                  <c:v>0.006723824953533611</c:v>
                </c:pt>
              </c:numCache>
            </c:numRef>
          </c:val>
          <c:smooth val="0"/>
        </c:ser>
        <c:ser>
          <c:idx val="10"/>
          <c:order val="12"/>
          <c:tx>
            <c:strRef>
              <c:f>'електро (2)'!$M$16:$M$17</c:f>
              <c:strCache>
                <c:ptCount val="1"/>
                <c:pt idx="0">
                  <c:v>h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'електро (2)'!$M$18:$M$87</c:f>
              <c:numCache>
                <c:ptCount val="70"/>
                <c:pt idx="0">
                  <c:v>-2.8983933366276347</c:v>
                </c:pt>
                <c:pt idx="1">
                  <c:v>-0.9568160774190689</c:v>
                </c:pt>
                <c:pt idx="2">
                  <c:v>-0.3149554261705291</c:v>
                </c:pt>
                <c:pt idx="3">
                  <c:v>0.0020033777186012586</c:v>
                </c:pt>
                <c:pt idx="4">
                  <c:v>0.18902308795027908</c:v>
                </c:pt>
                <c:pt idx="5">
                  <c:v>0.311091125616534</c:v>
                </c:pt>
                <c:pt idx="6">
                  <c:v>0.3960591040760809</c:v>
                </c:pt>
                <c:pt idx="7">
                  <c:v>0.4578527101547199</c:v>
                </c:pt>
                <c:pt idx="8">
                  <c:v>0.5042083311957261</c:v>
                </c:pt>
                <c:pt idx="9">
                  <c:v>0.5397677058654723</c:v>
                </c:pt>
                <c:pt idx="10">
                  <c:v>0.5674845835975215</c:v>
                </c:pt>
                <c:pt idx="11">
                  <c:v>0.5893280543029398</c:v>
                </c:pt>
                <c:pt idx="12">
                  <c:v>0.6066612643574893</c:v>
                </c:pt>
                <c:pt idx="13">
                  <c:v>0.6204578257274221</c:v>
                </c:pt>
                <c:pt idx="14">
                  <c:v>0.631431661435998</c:v>
                </c:pt>
                <c:pt idx="15">
                  <c:v>0.6401181589717901</c:v>
                </c:pt>
                <c:pt idx="16">
                  <c:v>0.6469266813099316</c:v>
                </c:pt>
                <c:pt idx="17">
                  <c:v>0.6521755742524866</c:v>
                </c:pt>
                <c:pt idx="18">
                  <c:v>0.6561161188125895</c:v>
                </c:pt>
                <c:pt idx="19">
                  <c:v>0.6589492978771246</c:v>
                </c:pt>
                <c:pt idx="20">
                  <c:v>0.6608377723885303</c:v>
                </c:pt>
                <c:pt idx="21">
                  <c:v>0.6619145912897185</c:v>
                </c:pt>
                <c:pt idx="22">
                  <c:v>0.6622896293042965</c:v>
                </c:pt>
                <c:pt idx="23">
                  <c:v>0.6620544152668575</c:v>
                </c:pt>
                <c:pt idx="24">
                  <c:v>0.6612858016494026</c:v>
                </c:pt>
                <c:pt idx="25">
                  <c:v>0.660048787269611</c:v>
                </c:pt>
                <c:pt idx="26">
                  <c:v>0.6583987127264728</c:v>
                </c:pt>
                <c:pt idx="27">
                  <c:v>0.6563829853815009</c:v>
                </c:pt>
                <c:pt idx="28">
                  <c:v>0.6540424474435458</c:v>
                </c:pt>
                <c:pt idx="29">
                  <c:v>0.651412470433092</c:v>
                </c:pt>
                <c:pt idx="30">
                  <c:v>0.6485238378113657</c:v>
                </c:pt>
                <c:pt idx="31">
                  <c:v>0.6454034621132511</c:v>
                </c:pt>
                <c:pt idx="32">
                  <c:v>0.6420749716893147</c:v>
                </c:pt>
                <c:pt idx="33">
                  <c:v>0.6385591939021675</c:v>
                </c:pt>
                <c:pt idx="34">
                  <c:v>0.6348745554863358</c:v>
                </c:pt>
                <c:pt idx="35">
                  <c:v>0.6310374161787828</c:v>
                </c:pt>
                <c:pt idx="36">
                  <c:v>0.6270623482445873</c:v>
                </c:pt>
                <c:pt idx="37">
                  <c:v>0.6229623718644998</c:v>
                </c:pt>
                <c:pt idx="38">
                  <c:v>0.6187491543066387</c:v>
                </c:pt>
                <c:pt idx="39">
                  <c:v>0.614433179220138</c:v>
                </c:pt>
                <c:pt idx="40">
                  <c:v>0.6100238911519056</c:v>
                </c:pt>
                <c:pt idx="41">
                  <c:v>0.605529819416011</c:v>
                </c:pt>
                <c:pt idx="42">
                  <c:v>0.6009586846769274</c:v>
                </c:pt>
                <c:pt idx="43">
                  <c:v>0.5963174909967288</c:v>
                </c:pt>
                <c:pt idx="44">
                  <c:v>0.5916126056074323</c:v>
                </c:pt>
                <c:pt idx="45">
                  <c:v>0.5868498282764248</c:v>
                </c:pt>
                <c:pt idx="46">
                  <c:v>0.5820344518149665</c:v>
                </c:pt>
                <c:pt idx="47">
                  <c:v>0.5771713150214305</c:v>
                </c:pt>
                <c:pt idx="48">
                  <c:v>0.5722648491400546</c:v>
                </c:pt>
                <c:pt idx="49">
                  <c:v>0.5673191187430577</c:v>
                </c:pt>
                <c:pt idx="50">
                  <c:v>0.5623378578015629</c:v>
                </c:pt>
                <c:pt idx="51">
                  <c:v>0.5573245015930082</c:v>
                </c:pt>
                <c:pt idx="52">
                  <c:v>0.5522822149949671</c:v>
                </c:pt>
                <c:pt idx="53">
                  <c:v>0.5472139176338242</c:v>
                </c:pt>
                <c:pt idx="54">
                  <c:v>0.5421223062886172</c:v>
                </c:pt>
                <c:pt idx="55">
                  <c:v>0.5370098748931696</c:v>
                </c:pt>
                <c:pt idx="56">
                  <c:v>0.531878932431478</c:v>
                </c:pt>
                <c:pt idx="57">
                  <c:v>0.5267316189806326</c:v>
                </c:pt>
                <c:pt idx="58">
                  <c:v>0.5215699201210756</c:v>
                </c:pt>
                <c:pt idx="59">
                  <c:v>0.5163956799046872</c:v>
                </c:pt>
                <c:pt idx="60">
                  <c:v>0.5112106125462125</c:v>
                </c:pt>
                <c:pt idx="61">
                  <c:v>0.5060163129821842</c:v>
                </c:pt>
                <c:pt idx="62">
                  <c:v>0.5008142664231872</c:v>
                </c:pt>
                <c:pt idx="63">
                  <c:v>0.49560585700958487</c:v>
                </c:pt>
                <c:pt idx="64">
                  <c:v>0.4903923756672713</c:v>
                </c:pt>
                <c:pt idx="65">
                  <c:v>0.4851750272483077</c:v>
                </c:pt>
                <c:pt idx="66">
                  <c:v>0.4799549370311691</c:v>
                </c:pt>
                <c:pt idx="67">
                  <c:v>0.4747331566465398</c:v>
                </c:pt>
                <c:pt idx="68">
                  <c:v>0.4695106694869431</c:v>
                </c:pt>
                <c:pt idx="69">
                  <c:v>0.4642883956518379</c:v>
                </c:pt>
              </c:numCache>
            </c:numRef>
          </c:val>
          <c:smooth val="0"/>
        </c:ser>
        <c:ser>
          <c:idx val="11"/>
          <c:order val="13"/>
          <c:tx>
            <c:strRef>
              <c:f>'електро (2)'!$N$16:$N$17</c:f>
              <c:strCache>
                <c:ptCount val="1"/>
                <c:pt idx="0">
                  <c:v>Rф кВт*В/см2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'електро (2)'!$N$18:$N$87</c:f>
              <c:numCache>
                <c:ptCount val="70"/>
                <c:pt idx="0">
                  <c:v>22.43296867370617</c:v>
                </c:pt>
                <c:pt idx="1">
                  <c:v>44.34481346126646</c:v>
                </c:pt>
                <c:pt idx="2">
                  <c:v>65.74010061314377</c:v>
                </c:pt>
                <c:pt idx="3">
                  <c:v>86.62339637980084</c:v>
                </c:pt>
                <c:pt idx="4">
                  <c:v>106.99926701170051</c:v>
                </c:pt>
                <c:pt idx="5">
                  <c:v>126.87227875930563</c:v>
                </c:pt>
                <c:pt idx="6">
                  <c:v>146.24699787307895</c:v>
                </c:pt>
                <c:pt idx="7">
                  <c:v>165.1279906034834</c:v>
                </c:pt>
                <c:pt idx="8">
                  <c:v>183.5198232009817</c:v>
                </c:pt>
                <c:pt idx="9">
                  <c:v>201.42706191603682</c:v>
                </c:pt>
                <c:pt idx="10">
                  <c:v>218.85427299911134</c:v>
                </c:pt>
                <c:pt idx="11">
                  <c:v>235.80602270066836</c:v>
                </c:pt>
                <c:pt idx="12">
                  <c:v>252.28687727117048</c:v>
                </c:pt>
                <c:pt idx="13">
                  <c:v>268.30140296108056</c:v>
                </c:pt>
                <c:pt idx="14">
                  <c:v>283.85416602086156</c:v>
                </c:pt>
                <c:pt idx="15">
                  <c:v>298.9497327009762</c:v>
                </c:pt>
                <c:pt idx="16">
                  <c:v>313.5926692518874</c:v>
                </c:pt>
                <c:pt idx="17">
                  <c:v>327.7875419240578</c:v>
                </c:pt>
                <c:pt idx="18">
                  <c:v>341.5389169679503</c:v>
                </c:pt>
                <c:pt idx="19">
                  <c:v>354.85136063402774</c:v>
                </c:pt>
                <c:pt idx="20">
                  <c:v>367.72943917275296</c:v>
                </c:pt>
                <c:pt idx="21">
                  <c:v>380.17771883458875</c:v>
                </c:pt>
                <c:pt idx="22">
                  <c:v>392.200765869998</c:v>
                </c:pt>
                <c:pt idx="23">
                  <c:v>403.80314652944355</c:v>
                </c:pt>
                <c:pt idx="24">
                  <c:v>414.98942706338806</c:v>
                </c:pt>
                <c:pt idx="25">
                  <c:v>425.76417372229446</c:v>
                </c:pt>
                <c:pt idx="26">
                  <c:v>436.1319527566255</c:v>
                </c:pt>
                <c:pt idx="27">
                  <c:v>446.0973304168441</c:v>
                </c:pt>
                <c:pt idx="28">
                  <c:v>455.66487295341307</c:v>
                </c:pt>
                <c:pt idx="29">
                  <c:v>464.8391466167952</c:v>
                </c:pt>
                <c:pt idx="30">
                  <c:v>473.6247176574533</c:v>
                </c:pt>
                <c:pt idx="31">
                  <c:v>482.02615232585015</c:v>
                </c:pt>
                <c:pt idx="32">
                  <c:v>490.04801687244856</c:v>
                </c:pt>
                <c:pt idx="33">
                  <c:v>497.69487754771177</c:v>
                </c:pt>
                <c:pt idx="34">
                  <c:v>504.9713006021019</c:v>
                </c:pt>
                <c:pt idx="35">
                  <c:v>511.88185228608234</c:v>
                </c:pt>
                <c:pt idx="36">
                  <c:v>518.4310988501154</c:v>
                </c:pt>
                <c:pt idx="37">
                  <c:v>524.6236065446644</c:v>
                </c:pt>
                <c:pt idx="38">
                  <c:v>530.4639416201921</c:v>
                </c:pt>
                <c:pt idx="39">
                  <c:v>535.956670327161</c:v>
                </c:pt>
                <c:pt idx="40">
                  <c:v>541.1063589160343</c:v>
                </c:pt>
                <c:pt idx="41">
                  <c:v>545.9175736372744</c:v>
                </c:pt>
                <c:pt idx="42">
                  <c:v>550.3948807413444</c:v>
                </c:pt>
                <c:pt idx="43">
                  <c:v>554.5428464787072</c:v>
                </c:pt>
                <c:pt idx="44">
                  <c:v>558.3660370998253</c:v>
                </c:pt>
                <c:pt idx="45">
                  <c:v>561.8690188551619</c:v>
                </c:pt>
                <c:pt idx="46">
                  <c:v>565.0563579951794</c:v>
                </c:pt>
                <c:pt idx="47">
                  <c:v>567.9326207703409</c:v>
                </c:pt>
                <c:pt idx="48">
                  <c:v>570.5023734311095</c:v>
                </c:pt>
                <c:pt idx="49">
                  <c:v>572.7701822279474</c:v>
                </c:pt>
                <c:pt idx="50">
                  <c:v>574.7406134113182</c:v>
                </c:pt>
                <c:pt idx="51">
                  <c:v>576.4182332316838</c:v>
                </c:pt>
                <c:pt idx="52">
                  <c:v>577.8076079395075</c:v>
                </c:pt>
                <c:pt idx="53">
                  <c:v>578.9133037852521</c:v>
                </c:pt>
                <c:pt idx="54">
                  <c:v>579.7398870193806</c:v>
                </c:pt>
                <c:pt idx="55">
                  <c:v>580.2919238923556</c:v>
                </c:pt>
                <c:pt idx="56">
                  <c:v>580.5739806546399</c:v>
                </c:pt>
                <c:pt idx="57">
                  <c:v>580.5906235566962</c:v>
                </c:pt>
                <c:pt idx="58">
                  <c:v>580.3464188489876</c:v>
                </c:pt>
                <c:pt idx="59">
                  <c:v>579.8459327819769</c:v>
                </c:pt>
                <c:pt idx="60">
                  <c:v>579.093731606127</c:v>
                </c:pt>
                <c:pt idx="61">
                  <c:v>578.0943815719003</c:v>
                </c:pt>
                <c:pt idx="62">
                  <c:v>576.8524489297599</c:v>
                </c:pt>
                <c:pt idx="63">
                  <c:v>575.3724999301689</c:v>
                </c:pt>
                <c:pt idx="64">
                  <c:v>573.6591008235897</c:v>
                </c:pt>
                <c:pt idx="65">
                  <c:v>571.7168178604852</c:v>
                </c:pt>
                <c:pt idx="66">
                  <c:v>569.5502172913184</c:v>
                </c:pt>
                <c:pt idx="67">
                  <c:v>567.1638653665519</c:v>
                </c:pt>
                <c:pt idx="68">
                  <c:v>564.5623283366485</c:v>
                </c:pt>
                <c:pt idx="69">
                  <c:v>561.7501724520713</c:v>
                </c:pt>
              </c:numCache>
            </c:numRef>
          </c:val>
          <c:smooth val="0"/>
        </c:ser>
        <c:ser>
          <c:idx val="12"/>
          <c:order val="14"/>
          <c:tx>
            <c:strRef>
              <c:f>'електро (2)'!$O$16:$O$17</c:f>
              <c:strCache>
                <c:ptCount val="1"/>
                <c:pt idx="0">
                  <c:v>КИН мВт*кА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'електро (2)'!$O$18:$O$87</c:f>
              <c:numCache>
                <c:ptCount val="70"/>
                <c:pt idx="0">
                  <c:v>3.2452868104415495</c:v>
                </c:pt>
                <c:pt idx="1">
                  <c:v>12.905538164053265</c:v>
                </c:pt>
                <c:pt idx="2">
                  <c:v>28.867340444265743</c:v>
                </c:pt>
                <c:pt idx="3">
                  <c:v>51.01728003450955</c:v>
                </c:pt>
                <c:pt idx="4">
                  <c:v>79.24194331821522</c:v>
                </c:pt>
                <c:pt idx="5">
                  <c:v>113.42791667881332</c:v>
                </c:pt>
                <c:pt idx="6">
                  <c:v>153.46178649973427</c:v>
                </c:pt>
                <c:pt idx="7">
                  <c:v>199.23013916440866</c:v>
                </c:pt>
                <c:pt idx="8">
                  <c:v>250.61956105626686</c:v>
                </c:pt>
                <c:pt idx="9">
                  <c:v>307.5166385587394</c:v>
                </c:pt>
                <c:pt idx="10">
                  <c:v>369.8079580552565</c:v>
                </c:pt>
                <c:pt idx="11">
                  <c:v>437.3801059292488</c:v>
                </c:pt>
                <c:pt idx="12">
                  <c:v>510.1196685641465</c:v>
                </c:pt>
                <c:pt idx="13">
                  <c:v>587.9132323433798</c:v>
                </c:pt>
                <c:pt idx="14">
                  <c:v>670.6473836503794</c:v>
                </c:pt>
                <c:pt idx="15">
                  <c:v>758.2087088685753</c:v>
                </c:pt>
                <c:pt idx="16">
                  <c:v>850.4837943813978</c:v>
                </c:pt>
                <c:pt idx="17">
                  <c:v>947.359226572277</c:v>
                </c:pt>
                <c:pt idx="18">
                  <c:v>1048.7215918246432</c:v>
                </c:pt>
                <c:pt idx="19">
                  <c:v>1154.4574765219263</c:v>
                </c:pt>
                <c:pt idx="20">
                  <c:v>1264.4534670475568</c:v>
                </c:pt>
                <c:pt idx="21">
                  <c:v>1378.5961497849648</c:v>
                </c:pt>
                <c:pt idx="22">
                  <c:v>1496.77211111758</c:v>
                </c:pt>
                <c:pt idx="23">
                  <c:v>1618.8679374288326</c:v>
                </c:pt>
                <c:pt idx="24">
                  <c:v>1744.7702151021524</c:v>
                </c:pt>
                <c:pt idx="25">
                  <c:v>1874.3655305209695</c:v>
                </c:pt>
                <c:pt idx="26">
                  <c:v>2007.5404700687136</c:v>
                </c:pt>
                <c:pt idx="27">
                  <c:v>2144.1816201288148</c:v>
                </c:pt>
                <c:pt idx="28">
                  <c:v>2284.175567084703</c:v>
                </c:pt>
                <c:pt idx="29">
                  <c:v>2427.408897319807</c:v>
                </c:pt>
                <c:pt idx="30">
                  <c:v>2573.768197217558</c:v>
                </c:pt>
                <c:pt idx="31">
                  <c:v>2723.140053161384</c:v>
                </c:pt>
                <c:pt idx="32">
                  <c:v>2875.4110515347156</c:v>
                </c:pt>
                <c:pt idx="33">
                  <c:v>3030.467778720983</c:v>
                </c:pt>
                <c:pt idx="34">
                  <c:v>3188.1968211036146</c:v>
                </c:pt>
                <c:pt idx="35">
                  <c:v>3348.48476506604</c:v>
                </c:pt>
                <c:pt idx="36">
                  <c:v>3511.218196991688</c:v>
                </c:pt>
                <c:pt idx="37">
                  <c:v>3676.283703263989</c:v>
                </c:pt>
                <c:pt idx="38">
                  <c:v>3843.567870266372</c:v>
                </c:pt>
                <c:pt idx="39">
                  <c:v>4012.957284382266</c:v>
                </c:pt>
                <c:pt idx="40">
                  <c:v>4184.338531995101</c:v>
                </c:pt>
                <c:pt idx="41">
                  <c:v>4357.598199488304</c:v>
                </c:pt>
                <c:pt idx="42">
                  <c:v>4532.6228732453055</c:v>
                </c:pt>
                <c:pt idx="43">
                  <c:v>4709.2991396495345</c:v>
                </c:pt>
                <c:pt idx="44">
                  <c:v>4887.51358508442</c:v>
                </c:pt>
                <c:pt idx="45">
                  <c:v>5067.152795933389</c:v>
                </c:pt>
                <c:pt idx="46">
                  <c:v>5248.1033585798705</c:v>
                </c:pt>
                <c:pt idx="47">
                  <c:v>5430.251859407294</c:v>
                </c:pt>
                <c:pt idx="48">
                  <c:v>5613.48488479909</c:v>
                </c:pt>
                <c:pt idx="49">
                  <c:v>5797.689021138683</c:v>
                </c:pt>
                <c:pt idx="50">
                  <c:v>5982.750854809504</c:v>
                </c:pt>
                <c:pt idx="51">
                  <c:v>6168.556972194978</c:v>
                </c:pt>
                <c:pt idx="52">
                  <c:v>6354.993959678537</c:v>
                </c:pt>
                <c:pt idx="53">
                  <c:v>6541.948403643606</c:v>
                </c:pt>
                <c:pt idx="54">
                  <c:v>6729.306890473615</c:v>
                </c:pt>
                <c:pt idx="55">
                  <c:v>6916.95600655199</c:v>
                </c:pt>
                <c:pt idx="56">
                  <c:v>7104.782338262158</c:v>
                </c:pt>
                <c:pt idx="57">
                  <c:v>7292.672471987549</c:v>
                </c:pt>
                <c:pt idx="58">
                  <c:v>7480.512994111587</c:v>
                </c:pt>
                <c:pt idx="59">
                  <c:v>7668.190491017703</c:v>
                </c:pt>
                <c:pt idx="60">
                  <c:v>7855.59154908932</c:v>
                </c:pt>
                <c:pt idx="61">
                  <c:v>8042.602754709869</c:v>
                </c:pt>
                <c:pt idx="62">
                  <c:v>8229.110694262772</c:v>
                </c:pt>
                <c:pt idx="63">
                  <c:v>8415.001954131461</c:v>
                </c:pt>
                <c:pt idx="64">
                  <c:v>8600.163120699357</c:v>
                </c:pt>
                <c:pt idx="65">
                  <c:v>8784.480780349888</c:v>
                </c:pt>
                <c:pt idx="66">
                  <c:v>8967.841519466483</c:v>
                </c:pt>
                <c:pt idx="67">
                  <c:v>9150.131924432562</c:v>
                </c:pt>
                <c:pt idx="68">
                  <c:v>9331.238581631553</c:v>
                </c:pt>
                <c:pt idx="69">
                  <c:v>9511.048077446883</c:v>
                </c:pt>
              </c:numCache>
            </c:numRef>
          </c:val>
          <c:smooth val="0"/>
        </c:ser>
        <c:marker val="1"/>
        <c:axId val="59707599"/>
        <c:axId val="497480"/>
      </c:lineChart>
      <c:catAx>
        <c:axId val="59707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480"/>
        <c:crosses val="autoZero"/>
        <c:auto val="1"/>
        <c:lblOffset val="100"/>
        <c:tickLblSkip val="2"/>
        <c:noMultiLvlLbl val="0"/>
      </c:catAx>
      <c:valAx>
        <c:axId val="497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07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2675"/>
          <c:w val="0.12675"/>
          <c:h val="0.4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8975"/>
          <c:h val="0.96675"/>
        </c:manualLayout>
      </c:layout>
      <c:lineChart>
        <c:grouping val="stacked"/>
        <c:varyColors val="0"/>
        <c:ser>
          <c:idx val="0"/>
          <c:order val="0"/>
          <c:tx>
            <c:strRef>
              <c:f>електро!$A$13</c:f>
              <c:strCache>
                <c:ptCount val="1"/>
                <c:pt idx="0">
                  <c:v>І2л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електро!$A$15:$A$84</c:f>
              <c:numCache>
                <c:ptCount val="70"/>
                <c:pt idx="0">
                  <c:v>84636.74859358612</c:v>
                </c:pt>
                <c:pt idx="1">
                  <c:v>84143.78002979895</c:v>
                </c:pt>
                <c:pt idx="2">
                  <c:v>83650.81146601177</c:v>
                </c:pt>
                <c:pt idx="3">
                  <c:v>83157.8429022246</c:v>
                </c:pt>
                <c:pt idx="4">
                  <c:v>82664.87433843742</c:v>
                </c:pt>
                <c:pt idx="5">
                  <c:v>82171.90577465025</c:v>
                </c:pt>
                <c:pt idx="6">
                  <c:v>81678.93721086309</c:v>
                </c:pt>
                <c:pt idx="7">
                  <c:v>81185.96864707592</c:v>
                </c:pt>
                <c:pt idx="8">
                  <c:v>80693.00008328875</c:v>
                </c:pt>
                <c:pt idx="9">
                  <c:v>80200.03151950157</c:v>
                </c:pt>
                <c:pt idx="10">
                  <c:v>79707.0629557144</c:v>
                </c:pt>
                <c:pt idx="11">
                  <c:v>79214.09439192722</c:v>
                </c:pt>
                <c:pt idx="12">
                  <c:v>78721.12582814007</c:v>
                </c:pt>
                <c:pt idx="13">
                  <c:v>78228.15726435289</c:v>
                </c:pt>
                <c:pt idx="14">
                  <c:v>77735.18870056572</c:v>
                </c:pt>
                <c:pt idx="15">
                  <c:v>77242.22013677855</c:v>
                </c:pt>
                <c:pt idx="16">
                  <c:v>76749.25157299137</c:v>
                </c:pt>
                <c:pt idx="17">
                  <c:v>76256.2830092042</c:v>
                </c:pt>
                <c:pt idx="18">
                  <c:v>75763.31444541704</c:v>
                </c:pt>
                <c:pt idx="19">
                  <c:v>75270.34588162987</c:v>
                </c:pt>
                <c:pt idx="20">
                  <c:v>74777.37731784269</c:v>
                </c:pt>
                <c:pt idx="21">
                  <c:v>74284.40875405552</c:v>
                </c:pt>
                <c:pt idx="22">
                  <c:v>73791.44019026835</c:v>
                </c:pt>
                <c:pt idx="23">
                  <c:v>73298.47162648117</c:v>
                </c:pt>
                <c:pt idx="24">
                  <c:v>72805.50306269401</c:v>
                </c:pt>
                <c:pt idx="25">
                  <c:v>72312.53449890684</c:v>
                </c:pt>
                <c:pt idx="26">
                  <c:v>71819.56593511967</c:v>
                </c:pt>
                <c:pt idx="27">
                  <c:v>71326.5973713325</c:v>
                </c:pt>
                <c:pt idx="28">
                  <c:v>70833.62880754532</c:v>
                </c:pt>
                <c:pt idx="29">
                  <c:v>70340.66024375815</c:v>
                </c:pt>
                <c:pt idx="30">
                  <c:v>69847.69167997099</c:v>
                </c:pt>
                <c:pt idx="31">
                  <c:v>69354.72311618381</c:v>
                </c:pt>
                <c:pt idx="32">
                  <c:v>68861.75455239664</c:v>
                </c:pt>
                <c:pt idx="33">
                  <c:v>68368.78598860947</c:v>
                </c:pt>
                <c:pt idx="34">
                  <c:v>67875.8174248223</c:v>
                </c:pt>
                <c:pt idx="35">
                  <c:v>67382.84886103512</c:v>
                </c:pt>
                <c:pt idx="36">
                  <c:v>66889.88029724796</c:v>
                </c:pt>
                <c:pt idx="37">
                  <c:v>66396.91173346079</c:v>
                </c:pt>
                <c:pt idx="38">
                  <c:v>65903.94316967361</c:v>
                </c:pt>
                <c:pt idx="39">
                  <c:v>65410.97460588644</c:v>
                </c:pt>
                <c:pt idx="40">
                  <c:v>64918.006042099274</c:v>
                </c:pt>
                <c:pt idx="41">
                  <c:v>64425.0374783121</c:v>
                </c:pt>
                <c:pt idx="42">
                  <c:v>63932.06891452493</c:v>
                </c:pt>
                <c:pt idx="43">
                  <c:v>63439.10035073776</c:v>
                </c:pt>
                <c:pt idx="44">
                  <c:v>62946.13178695059</c:v>
                </c:pt>
                <c:pt idx="45">
                  <c:v>62453.163223163414</c:v>
                </c:pt>
                <c:pt idx="46">
                  <c:v>61960.19465937625</c:v>
                </c:pt>
                <c:pt idx="47">
                  <c:v>61467.226095589074</c:v>
                </c:pt>
                <c:pt idx="48">
                  <c:v>60974.2575318019</c:v>
                </c:pt>
                <c:pt idx="49">
                  <c:v>60481.288968014735</c:v>
                </c:pt>
                <c:pt idx="50">
                  <c:v>59988.32040422756</c:v>
                </c:pt>
                <c:pt idx="51">
                  <c:v>59495.35184044039</c:v>
                </c:pt>
                <c:pt idx="52">
                  <c:v>59002.38327665322</c:v>
                </c:pt>
                <c:pt idx="53">
                  <c:v>58509.41471286605</c:v>
                </c:pt>
                <c:pt idx="54">
                  <c:v>58016.446149078874</c:v>
                </c:pt>
                <c:pt idx="55">
                  <c:v>57523.47758529171</c:v>
                </c:pt>
                <c:pt idx="56">
                  <c:v>57030.509021504535</c:v>
                </c:pt>
                <c:pt idx="57">
                  <c:v>56537.54045771736</c:v>
                </c:pt>
                <c:pt idx="58">
                  <c:v>56044.571893930195</c:v>
                </c:pt>
                <c:pt idx="59">
                  <c:v>55551.60333014302</c:v>
                </c:pt>
                <c:pt idx="60">
                  <c:v>55058.63476635585</c:v>
                </c:pt>
                <c:pt idx="61">
                  <c:v>54565.66620256868</c:v>
                </c:pt>
                <c:pt idx="62">
                  <c:v>54072.69763878151</c:v>
                </c:pt>
                <c:pt idx="63">
                  <c:v>53579.729074994335</c:v>
                </c:pt>
                <c:pt idx="64">
                  <c:v>53086.76051120717</c:v>
                </c:pt>
                <c:pt idx="65">
                  <c:v>52593.791947419995</c:v>
                </c:pt>
                <c:pt idx="66">
                  <c:v>52100.82338363282</c:v>
                </c:pt>
                <c:pt idx="67">
                  <c:v>51607.854819845656</c:v>
                </c:pt>
                <c:pt idx="68">
                  <c:v>51114.88625605848</c:v>
                </c:pt>
                <c:pt idx="69">
                  <c:v>50621.91769227131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електро!$B$13</c:f>
              <c:strCache>
                <c:ptCount val="1"/>
                <c:pt idx="0">
                  <c:v>Pпот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електро!$B$15:$B$84</c:f>
              <c:numCache>
                <c:ptCount val="70"/>
                <c:pt idx="0">
                  <c:v>23639.151401229876</c:v>
                </c:pt>
                <c:pt idx="1">
                  <c:v>23364.579868420533</c:v>
                </c:pt>
                <c:pt idx="2">
                  <c:v>23091.612254443415</c:v>
                </c:pt>
                <c:pt idx="3">
                  <c:v>22820.248559298518</c:v>
                </c:pt>
                <c:pt idx="4">
                  <c:v>22550.488782985853</c:v>
                </c:pt>
                <c:pt idx="5">
                  <c:v>22282.3329255054</c:v>
                </c:pt>
                <c:pt idx="6">
                  <c:v>22015.780986857182</c:v>
                </c:pt>
                <c:pt idx="7">
                  <c:v>21750.83296704118</c:v>
                </c:pt>
                <c:pt idx="8">
                  <c:v>21487.488866057407</c:v>
                </c:pt>
                <c:pt idx="9">
                  <c:v>21225.74868390585</c:v>
                </c:pt>
                <c:pt idx="10">
                  <c:v>20965.612420586524</c:v>
                </c:pt>
                <c:pt idx="11">
                  <c:v>20707.080076099417</c:v>
                </c:pt>
                <c:pt idx="12">
                  <c:v>20450.151650444546</c:v>
                </c:pt>
                <c:pt idx="13">
                  <c:v>20194.827143621886</c:v>
                </c:pt>
                <c:pt idx="14">
                  <c:v>19941.106555631446</c:v>
                </c:pt>
                <c:pt idx="15">
                  <c:v>19688.98988647324</c:v>
                </c:pt>
                <c:pt idx="16">
                  <c:v>19438.47713614725</c:v>
                </c:pt>
                <c:pt idx="17">
                  <c:v>19189.568304653487</c:v>
                </c:pt>
                <c:pt idx="18">
                  <c:v>18942.263391991957</c:v>
                </c:pt>
                <c:pt idx="19">
                  <c:v>18696.56239816264</c:v>
                </c:pt>
                <c:pt idx="20">
                  <c:v>18452.46532316555</c:v>
                </c:pt>
                <c:pt idx="21">
                  <c:v>18209.97216700068</c:v>
                </c:pt>
                <c:pt idx="22">
                  <c:v>17969.08292966804</c:v>
                </c:pt>
                <c:pt idx="23">
                  <c:v>17729.797611167618</c:v>
                </c:pt>
                <c:pt idx="24">
                  <c:v>17492.116211499426</c:v>
                </c:pt>
                <c:pt idx="25">
                  <c:v>17256.038730663455</c:v>
                </c:pt>
                <c:pt idx="26">
                  <c:v>17021.565168659705</c:v>
                </c:pt>
                <c:pt idx="27">
                  <c:v>16788.69552548818</c:v>
                </c:pt>
                <c:pt idx="28">
                  <c:v>16557.42980114888</c:v>
                </c:pt>
                <c:pt idx="29">
                  <c:v>16327.7679956418</c:v>
                </c:pt>
                <c:pt idx="30">
                  <c:v>16099.710108966952</c:v>
                </c:pt>
                <c:pt idx="31">
                  <c:v>15873.256141124319</c:v>
                </c:pt>
                <c:pt idx="32">
                  <c:v>15648.406092113913</c:v>
                </c:pt>
                <c:pt idx="33">
                  <c:v>15425.159961935733</c:v>
                </c:pt>
                <c:pt idx="34">
                  <c:v>15203.517750589772</c:v>
                </c:pt>
                <c:pt idx="35">
                  <c:v>14983.479458076037</c:v>
                </c:pt>
                <c:pt idx="36">
                  <c:v>14765.045084394531</c:v>
                </c:pt>
                <c:pt idx="37">
                  <c:v>14548.214629545246</c:v>
                </c:pt>
                <c:pt idx="38">
                  <c:v>14332.98809352818</c:v>
                </c:pt>
                <c:pt idx="39">
                  <c:v>14119.365476343339</c:v>
                </c:pt>
                <c:pt idx="40">
                  <c:v>13907.346777990724</c:v>
                </c:pt>
                <c:pt idx="41">
                  <c:v>13696.931998470332</c:v>
                </c:pt>
                <c:pt idx="42">
                  <c:v>13488.121137782164</c:v>
                </c:pt>
                <c:pt idx="43">
                  <c:v>13280.914195926222</c:v>
                </c:pt>
                <c:pt idx="44">
                  <c:v>13075.3111729025</c:v>
                </c:pt>
                <c:pt idx="45">
                  <c:v>12871.312068711004</c:v>
                </c:pt>
                <c:pt idx="46">
                  <c:v>12668.916883351732</c:v>
                </c:pt>
                <c:pt idx="47">
                  <c:v>12468.125616824678</c:v>
                </c:pt>
                <c:pt idx="48">
                  <c:v>12268.938269129856</c:v>
                </c:pt>
                <c:pt idx="49">
                  <c:v>12071.354840267251</c:v>
                </c:pt>
                <c:pt idx="50">
                  <c:v>11875.375330236875</c:v>
                </c:pt>
                <c:pt idx="51">
                  <c:v>11680.999739038718</c:v>
                </c:pt>
                <c:pt idx="52">
                  <c:v>11488.22806667279</c:v>
                </c:pt>
                <c:pt idx="53">
                  <c:v>11297.060313139084</c:v>
                </c:pt>
                <c:pt idx="54">
                  <c:v>11107.496478437599</c:v>
                </c:pt>
                <c:pt idx="55">
                  <c:v>10919.53656256834</c:v>
                </c:pt>
                <c:pt idx="56">
                  <c:v>10733.180565531304</c:v>
                </c:pt>
                <c:pt idx="57">
                  <c:v>10548.428487326491</c:v>
                </c:pt>
                <c:pt idx="58">
                  <c:v>10365.280327953906</c:v>
                </c:pt>
                <c:pt idx="59">
                  <c:v>10183.73608741354</c:v>
                </c:pt>
                <c:pt idx="60">
                  <c:v>10003.7957657054</c:v>
                </c:pt>
                <c:pt idx="61">
                  <c:v>9825.459362829482</c:v>
                </c:pt>
                <c:pt idx="62">
                  <c:v>9648.726878785788</c:v>
                </c:pt>
                <c:pt idx="63">
                  <c:v>9473.598313574317</c:v>
                </c:pt>
                <c:pt idx="64">
                  <c:v>9300.073667195076</c:v>
                </c:pt>
                <c:pt idx="65">
                  <c:v>9128.152939648051</c:v>
                </c:pt>
                <c:pt idx="66">
                  <c:v>8957.836130933252</c:v>
                </c:pt>
                <c:pt idx="67">
                  <c:v>8789.123241050682</c:v>
                </c:pt>
                <c:pt idx="68">
                  <c:v>8622.014270000327</c:v>
                </c:pt>
                <c:pt idx="69">
                  <c:v>8456.5092177822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електро!$C$13</c:f>
              <c:strCache>
                <c:ptCount val="1"/>
                <c:pt idx="0">
                  <c:v>Uд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електро!$C$15:$C$84</c:f>
              <c:numCache>
                <c:ptCount val="70"/>
                <c:pt idx="0">
                  <c:v>270.3473501181586</c:v>
                </c:pt>
                <c:pt idx="1">
                  <c:v>268.77270615881446</c:v>
                </c:pt>
                <c:pt idx="2">
                  <c:v>267.19806219947037</c:v>
                </c:pt>
                <c:pt idx="3">
                  <c:v>265.6234182401263</c:v>
                </c:pt>
                <c:pt idx="4">
                  <c:v>264.0487742807822</c:v>
                </c:pt>
                <c:pt idx="5">
                  <c:v>262.47413032143805</c:v>
                </c:pt>
                <c:pt idx="6">
                  <c:v>260.89948636209397</c:v>
                </c:pt>
                <c:pt idx="7">
                  <c:v>259.3248424027498</c:v>
                </c:pt>
                <c:pt idx="8">
                  <c:v>257.75019844340574</c:v>
                </c:pt>
                <c:pt idx="9">
                  <c:v>256.17555448406165</c:v>
                </c:pt>
                <c:pt idx="10">
                  <c:v>254.6009105247175</c:v>
                </c:pt>
                <c:pt idx="11">
                  <c:v>253.02626656537342</c:v>
                </c:pt>
                <c:pt idx="12">
                  <c:v>251.4516226060293</c:v>
                </c:pt>
                <c:pt idx="13">
                  <c:v>249.87697864668522</c:v>
                </c:pt>
                <c:pt idx="14">
                  <c:v>248.3023346873411</c:v>
                </c:pt>
                <c:pt idx="15">
                  <c:v>246.727690727997</c:v>
                </c:pt>
                <c:pt idx="16">
                  <c:v>245.15304676865287</c:v>
                </c:pt>
                <c:pt idx="17">
                  <c:v>243.57840280930878</c:v>
                </c:pt>
                <c:pt idx="18">
                  <c:v>242.00375884996467</c:v>
                </c:pt>
                <c:pt idx="19">
                  <c:v>240.42911489062055</c:v>
                </c:pt>
                <c:pt idx="20">
                  <c:v>238.85447093127647</c:v>
                </c:pt>
                <c:pt idx="21">
                  <c:v>237.27982697193232</c:v>
                </c:pt>
                <c:pt idx="22">
                  <c:v>235.70518301258824</c:v>
                </c:pt>
                <c:pt idx="23">
                  <c:v>234.13053905324415</c:v>
                </c:pt>
                <c:pt idx="24">
                  <c:v>232.5558950939</c:v>
                </c:pt>
                <c:pt idx="25">
                  <c:v>230.98125113455592</c:v>
                </c:pt>
                <c:pt idx="26">
                  <c:v>229.4066071752118</c:v>
                </c:pt>
                <c:pt idx="27">
                  <c:v>227.83196321586772</c:v>
                </c:pt>
                <c:pt idx="28">
                  <c:v>226.2573192565236</c:v>
                </c:pt>
                <c:pt idx="29">
                  <c:v>224.6826752971795</c:v>
                </c:pt>
                <c:pt idx="30">
                  <c:v>223.10803133783537</c:v>
                </c:pt>
                <c:pt idx="31">
                  <c:v>221.53338737849128</c:v>
                </c:pt>
                <c:pt idx="32">
                  <c:v>219.9587434191472</c:v>
                </c:pt>
                <c:pt idx="33">
                  <c:v>218.38409945980308</c:v>
                </c:pt>
                <c:pt idx="34">
                  <c:v>216.809455500459</c:v>
                </c:pt>
                <c:pt idx="35">
                  <c:v>215.23481154111488</c:v>
                </c:pt>
                <c:pt idx="36">
                  <c:v>213.66016758177076</c:v>
                </c:pt>
                <c:pt idx="37">
                  <c:v>212.08552362242668</c:v>
                </c:pt>
                <c:pt idx="38">
                  <c:v>210.51087966308256</c:v>
                </c:pt>
                <c:pt idx="39">
                  <c:v>208.93623570373845</c:v>
                </c:pt>
                <c:pt idx="40">
                  <c:v>207.36159174439436</c:v>
                </c:pt>
                <c:pt idx="41">
                  <c:v>205.78694778505024</c:v>
                </c:pt>
                <c:pt idx="42">
                  <c:v>204.21230382570613</c:v>
                </c:pt>
                <c:pt idx="43">
                  <c:v>202.63765986636201</c:v>
                </c:pt>
                <c:pt idx="44">
                  <c:v>201.06301590701793</c:v>
                </c:pt>
                <c:pt idx="45">
                  <c:v>199.4883719476738</c:v>
                </c:pt>
                <c:pt idx="46">
                  <c:v>197.9137279883297</c:v>
                </c:pt>
                <c:pt idx="47">
                  <c:v>196.3390840289856</c:v>
                </c:pt>
                <c:pt idx="48">
                  <c:v>194.7644400696415</c:v>
                </c:pt>
                <c:pt idx="49">
                  <c:v>193.18979611029738</c:v>
                </c:pt>
                <c:pt idx="50">
                  <c:v>191.6151521509533</c:v>
                </c:pt>
                <c:pt idx="51">
                  <c:v>190.04050819160918</c:v>
                </c:pt>
                <c:pt idx="52">
                  <c:v>188.4658642322651</c:v>
                </c:pt>
                <c:pt idx="53">
                  <c:v>186.89122027292095</c:v>
                </c:pt>
                <c:pt idx="54">
                  <c:v>185.31657631357686</c:v>
                </c:pt>
                <c:pt idx="55">
                  <c:v>183.74193235423274</c:v>
                </c:pt>
                <c:pt idx="56">
                  <c:v>182.16728839488866</c:v>
                </c:pt>
                <c:pt idx="57">
                  <c:v>180.59264443554454</c:v>
                </c:pt>
                <c:pt idx="58">
                  <c:v>179.01800047620043</c:v>
                </c:pt>
                <c:pt idx="59">
                  <c:v>177.44335651685634</c:v>
                </c:pt>
                <c:pt idx="60">
                  <c:v>175.86871255751223</c:v>
                </c:pt>
                <c:pt idx="61">
                  <c:v>174.2940685981681</c:v>
                </c:pt>
                <c:pt idx="62">
                  <c:v>172.719424638824</c:v>
                </c:pt>
                <c:pt idx="63">
                  <c:v>171.1447806794799</c:v>
                </c:pt>
                <c:pt idx="64">
                  <c:v>169.5701367201358</c:v>
                </c:pt>
                <c:pt idx="65">
                  <c:v>167.99549276079168</c:v>
                </c:pt>
                <c:pt idx="66">
                  <c:v>166.4208488014476</c:v>
                </c:pt>
                <c:pt idx="67">
                  <c:v>164.84620484210348</c:v>
                </c:pt>
                <c:pt idx="68">
                  <c:v>163.27156088275936</c:v>
                </c:pt>
                <c:pt idx="69">
                  <c:v>161.69691692341527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електро!$D$13</c:f>
              <c:strCache>
                <c:ptCount val="1"/>
                <c:pt idx="0">
                  <c:v>U2лв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електро!$D$15:$D$84</c:f>
            </c:numRef>
          </c:val>
          <c:smooth val="0"/>
        </c:ser>
        <c:ser>
          <c:idx val="4"/>
          <c:order val="4"/>
          <c:tx>
            <c:strRef>
              <c:f>електро!$E$13</c:f>
              <c:strCache>
                <c:ptCount val="1"/>
                <c:pt idx="0">
                  <c:v>U2ф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електро!$E$15:$E$84</c:f>
            </c:numRef>
          </c:val>
          <c:smooth val="0"/>
        </c:ser>
        <c:ser>
          <c:idx val="5"/>
          <c:order val="5"/>
          <c:tx>
            <c:strRef>
              <c:f>електро!$F$13</c:f>
              <c:strCache>
                <c:ptCount val="1"/>
                <c:pt idx="0">
                  <c:v>Рд1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електро!$F$15:$F$84</c:f>
              <c:numCache>
                <c:ptCount val="70"/>
                <c:pt idx="0">
                  <c:v>0.0031942076534193075</c:v>
                </c:pt>
                <c:pt idx="1">
                  <c:v>3.194207653419307E-05</c:v>
                </c:pt>
                <c:pt idx="2">
                  <c:v>3.194207653419308E-05</c:v>
                </c:pt>
                <c:pt idx="3">
                  <c:v>3.194207653419308E-05</c:v>
                </c:pt>
                <c:pt idx="4">
                  <c:v>3.1942076534193086E-05</c:v>
                </c:pt>
                <c:pt idx="5">
                  <c:v>3.194207653419308E-05</c:v>
                </c:pt>
                <c:pt idx="6">
                  <c:v>3.194207653419308E-05</c:v>
                </c:pt>
                <c:pt idx="7">
                  <c:v>3.194207653419307E-05</c:v>
                </c:pt>
                <c:pt idx="8">
                  <c:v>3.194207653419307E-05</c:v>
                </c:pt>
                <c:pt idx="9">
                  <c:v>3.194207653419308E-05</c:v>
                </c:pt>
                <c:pt idx="10">
                  <c:v>3.194207653419308E-05</c:v>
                </c:pt>
                <c:pt idx="11">
                  <c:v>3.194207653419308E-05</c:v>
                </c:pt>
                <c:pt idx="12">
                  <c:v>3.194207653419307E-05</c:v>
                </c:pt>
                <c:pt idx="13">
                  <c:v>3.194207653419308E-05</c:v>
                </c:pt>
                <c:pt idx="14">
                  <c:v>3.194207653419308E-05</c:v>
                </c:pt>
                <c:pt idx="15">
                  <c:v>3.194207653419307E-05</c:v>
                </c:pt>
                <c:pt idx="16">
                  <c:v>3.194207653419307E-05</c:v>
                </c:pt>
                <c:pt idx="17">
                  <c:v>3.194207653419308E-05</c:v>
                </c:pt>
                <c:pt idx="18">
                  <c:v>3.194207653419307E-05</c:v>
                </c:pt>
                <c:pt idx="19">
                  <c:v>3.194207653419307E-05</c:v>
                </c:pt>
                <c:pt idx="20">
                  <c:v>3.194207653419307E-05</c:v>
                </c:pt>
                <c:pt idx="21">
                  <c:v>3.194207653419307E-05</c:v>
                </c:pt>
                <c:pt idx="22">
                  <c:v>3.194207653419308E-05</c:v>
                </c:pt>
                <c:pt idx="23">
                  <c:v>3.194207653419308E-05</c:v>
                </c:pt>
                <c:pt idx="24">
                  <c:v>3.1942076534193066E-05</c:v>
                </c:pt>
                <c:pt idx="25">
                  <c:v>3.194207653419307E-05</c:v>
                </c:pt>
                <c:pt idx="26">
                  <c:v>3.194207653419307E-05</c:v>
                </c:pt>
                <c:pt idx="27">
                  <c:v>3.194207653419307E-05</c:v>
                </c:pt>
                <c:pt idx="28">
                  <c:v>3.194207653419307E-05</c:v>
                </c:pt>
                <c:pt idx="29">
                  <c:v>3.194207653419308E-05</c:v>
                </c:pt>
                <c:pt idx="30">
                  <c:v>3.194207653419307E-05</c:v>
                </c:pt>
                <c:pt idx="31">
                  <c:v>3.194207653419307E-05</c:v>
                </c:pt>
                <c:pt idx="32">
                  <c:v>3.194207653419307E-05</c:v>
                </c:pt>
                <c:pt idx="33">
                  <c:v>3.194207653419308E-05</c:v>
                </c:pt>
                <c:pt idx="34">
                  <c:v>3.194207653419308E-05</c:v>
                </c:pt>
                <c:pt idx="35">
                  <c:v>3.1942076534193086E-05</c:v>
                </c:pt>
                <c:pt idx="36">
                  <c:v>3.194207653419307E-05</c:v>
                </c:pt>
                <c:pt idx="37">
                  <c:v>3.194207653419308E-05</c:v>
                </c:pt>
                <c:pt idx="38">
                  <c:v>3.194207653419308E-05</c:v>
                </c:pt>
                <c:pt idx="39">
                  <c:v>3.194207653419308E-05</c:v>
                </c:pt>
                <c:pt idx="40">
                  <c:v>3.194207653419308E-05</c:v>
                </c:pt>
                <c:pt idx="41">
                  <c:v>3.194207653419308E-05</c:v>
                </c:pt>
                <c:pt idx="42">
                  <c:v>3.194207653419307E-05</c:v>
                </c:pt>
                <c:pt idx="43">
                  <c:v>3.194207653419307E-05</c:v>
                </c:pt>
                <c:pt idx="44">
                  <c:v>3.194207653419307E-05</c:v>
                </c:pt>
                <c:pt idx="45">
                  <c:v>3.194207653419308E-05</c:v>
                </c:pt>
                <c:pt idx="46">
                  <c:v>3.194207653419307E-05</c:v>
                </c:pt>
                <c:pt idx="47">
                  <c:v>3.194207653419308E-05</c:v>
                </c:pt>
                <c:pt idx="48">
                  <c:v>3.194207653419308E-05</c:v>
                </c:pt>
                <c:pt idx="49">
                  <c:v>3.194207653419307E-05</c:v>
                </c:pt>
                <c:pt idx="50">
                  <c:v>3.194207653419308E-05</c:v>
                </c:pt>
                <c:pt idx="51">
                  <c:v>3.194207653419308E-05</c:v>
                </c:pt>
                <c:pt idx="52">
                  <c:v>3.194207653419308E-05</c:v>
                </c:pt>
                <c:pt idx="53">
                  <c:v>3.194207653419307E-05</c:v>
                </c:pt>
                <c:pt idx="54">
                  <c:v>3.194207653419307E-05</c:v>
                </c:pt>
                <c:pt idx="55">
                  <c:v>3.194207653419307E-05</c:v>
                </c:pt>
                <c:pt idx="56">
                  <c:v>3.194207653419308E-05</c:v>
                </c:pt>
                <c:pt idx="57">
                  <c:v>3.194207653419308E-05</c:v>
                </c:pt>
                <c:pt idx="58">
                  <c:v>3.194207653419307E-05</c:v>
                </c:pt>
                <c:pt idx="59">
                  <c:v>3.194207653419308E-05</c:v>
                </c:pt>
                <c:pt idx="60">
                  <c:v>3.194207653419307E-05</c:v>
                </c:pt>
                <c:pt idx="61">
                  <c:v>3.194207653419307E-05</c:v>
                </c:pt>
                <c:pt idx="62">
                  <c:v>3.194207653419307E-05</c:v>
                </c:pt>
                <c:pt idx="63">
                  <c:v>3.194207653419308E-05</c:v>
                </c:pt>
                <c:pt idx="64">
                  <c:v>3.194207653419307E-05</c:v>
                </c:pt>
                <c:pt idx="65">
                  <c:v>3.194207653419307E-05</c:v>
                </c:pt>
                <c:pt idx="66">
                  <c:v>3.194207653419307E-05</c:v>
                </c:pt>
                <c:pt idx="67">
                  <c:v>3.194207653419307E-05</c:v>
                </c:pt>
                <c:pt idx="68">
                  <c:v>3.194207653419307E-05</c:v>
                </c:pt>
                <c:pt idx="69">
                  <c:v>3.194207653419308E-05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електро!$G$13</c:f>
              <c:strCache>
                <c:ptCount val="1"/>
                <c:pt idx="0">
                  <c:v>Рд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електро!$G$15:$G$84</c:f>
              <c:numCache>
                <c:ptCount val="70"/>
                <c:pt idx="0">
                  <c:v>39645.26944523372</c:v>
                </c:pt>
                <c:pt idx="1">
                  <c:v>39281.81258640725</c:v>
                </c:pt>
                <c:pt idx="2">
                  <c:v>38919.908762214836</c:v>
                </c:pt>
                <c:pt idx="3">
                  <c:v>38559.55797265698</c:v>
                </c:pt>
                <c:pt idx="4">
                  <c:v>38200.76021773425</c:v>
                </c:pt>
                <c:pt idx="5">
                  <c:v>37843.51549744718</c:v>
                </c:pt>
                <c:pt idx="6">
                  <c:v>37487.82381179632</c:v>
                </c:pt>
                <c:pt idx="7">
                  <c:v>37133.68516078223</c:v>
                </c:pt>
                <c:pt idx="8">
                  <c:v>36781.09954440551</c:v>
                </c:pt>
                <c:pt idx="9">
                  <c:v>36430.06696266669</c:v>
                </c:pt>
                <c:pt idx="10">
                  <c:v>36080.58741556639</c:v>
                </c:pt>
                <c:pt idx="11">
                  <c:v>35732.66090310519</c:v>
                </c:pt>
                <c:pt idx="12">
                  <c:v>35386.2874252837</c:v>
                </c:pt>
                <c:pt idx="13">
                  <c:v>35041.46698210253</c:v>
                </c:pt>
                <c:pt idx="14">
                  <c:v>34698.19957356228</c:v>
                </c:pt>
                <c:pt idx="15">
                  <c:v>34356.48519966359</c:v>
                </c:pt>
                <c:pt idx="16">
                  <c:v>34016.3238604071</c:v>
                </c:pt>
                <c:pt idx="17">
                  <c:v>33677.715555793475</c:v>
                </c:pt>
                <c:pt idx="18">
                  <c:v>33340.66028582334</c:v>
                </c:pt>
                <c:pt idx="19">
                  <c:v>33005.15805049736</c:v>
                </c:pt>
                <c:pt idx="20">
                  <c:v>32671.208849816227</c:v>
                </c:pt>
                <c:pt idx="21">
                  <c:v>32338.812683780612</c:v>
                </c:pt>
                <c:pt idx="22">
                  <c:v>32007.96955239122</c:v>
                </c:pt>
                <c:pt idx="23">
                  <c:v>31678.679455648737</c:v>
                </c:pt>
                <c:pt idx="24">
                  <c:v>31350.942393553898</c:v>
                </c:pt>
                <c:pt idx="25">
                  <c:v>31024.75836610742</c:v>
                </c:pt>
                <c:pt idx="26">
                  <c:v>30700.12737331003</c:v>
                </c:pt>
                <c:pt idx="27">
                  <c:v>30377.04941516248</c:v>
                </c:pt>
                <c:pt idx="28">
                  <c:v>30055.52449166553</c:v>
                </c:pt>
                <c:pt idx="29">
                  <c:v>29735.552602819946</c:v>
                </c:pt>
                <c:pt idx="30">
                  <c:v>29417.13374862652</c:v>
                </c:pt>
                <c:pt idx="31">
                  <c:v>29100.267929086014</c:v>
                </c:pt>
                <c:pt idx="32">
                  <c:v>28784.955144199263</c:v>
                </c:pt>
                <c:pt idx="33">
                  <c:v>28471.19539396706</c:v>
                </c:pt>
                <c:pt idx="34">
                  <c:v>28158.98867839025</c:v>
                </c:pt>
                <c:pt idx="35">
                  <c:v>27848.334997469672</c:v>
                </c:pt>
                <c:pt idx="36">
                  <c:v>27539.234351206174</c:v>
                </c:pt>
                <c:pt idx="37">
                  <c:v>27231.686739600613</c:v>
                </c:pt>
                <c:pt idx="38">
                  <c:v>26925.692162653893</c:v>
                </c:pt>
                <c:pt idx="39">
                  <c:v>26621.25062036689</c:v>
                </c:pt>
                <c:pt idx="40">
                  <c:v>26318.36211274052</c:v>
                </c:pt>
                <c:pt idx="41">
                  <c:v>26017.026639775704</c:v>
                </c:pt>
                <c:pt idx="42">
                  <c:v>25717.244201473375</c:v>
                </c:pt>
                <c:pt idx="43">
                  <c:v>25419.014797834483</c:v>
                </c:pt>
                <c:pt idx="44">
                  <c:v>25122.33842886</c:v>
                </c:pt>
                <c:pt idx="45">
                  <c:v>24827.215094550902</c:v>
                </c:pt>
                <c:pt idx="46">
                  <c:v>24533.644794908196</c:v>
                </c:pt>
                <c:pt idx="47">
                  <c:v>24241.627529932884</c:v>
                </c:pt>
                <c:pt idx="48">
                  <c:v>23951.16329962599</c:v>
                </c:pt>
                <c:pt idx="49">
                  <c:v>23662.25210398858</c:v>
                </c:pt>
                <c:pt idx="50">
                  <c:v>23374.893943021703</c:v>
                </c:pt>
                <c:pt idx="51">
                  <c:v>23089.088816726446</c:v>
                </c:pt>
                <c:pt idx="52">
                  <c:v>22804.8367251039</c:v>
                </c:pt>
                <c:pt idx="53">
                  <c:v>22522.137668155177</c:v>
                </c:pt>
                <c:pt idx="54">
                  <c:v>22240.991645881422</c:v>
                </c:pt>
                <c:pt idx="55">
                  <c:v>21961.398658283786</c:v>
                </c:pt>
                <c:pt idx="56">
                  <c:v>21683.358705363433</c:v>
                </c:pt>
                <c:pt idx="57">
                  <c:v>21406.87178712156</c:v>
                </c:pt>
                <c:pt idx="58">
                  <c:v>21131.93790355938</c:v>
                </c:pt>
                <c:pt idx="59">
                  <c:v>20858.557054678116</c:v>
                </c:pt>
                <c:pt idx="60">
                  <c:v>20586.72924047903</c:v>
                </c:pt>
                <c:pt idx="61">
                  <c:v>20316.454460963392</c:v>
                </c:pt>
                <c:pt idx="62">
                  <c:v>20047.73271613249</c:v>
                </c:pt>
                <c:pt idx="63">
                  <c:v>19780.56400598765</c:v>
                </c:pt>
                <c:pt idx="64">
                  <c:v>19514.948330530213</c:v>
                </c:pt>
                <c:pt idx="65">
                  <c:v>19250.885689761533</c:v>
                </c:pt>
                <c:pt idx="66">
                  <c:v>18988.376083683004</c:v>
                </c:pt>
                <c:pt idx="67">
                  <c:v>18727.419512296034</c:v>
                </c:pt>
                <c:pt idx="68">
                  <c:v>18468.015975602055</c:v>
                </c:pt>
                <c:pt idx="69">
                  <c:v>18210.16547360253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електро!$H$13</c:f>
              <c:strCache>
                <c:ptCount val="1"/>
                <c:pt idx="0">
                  <c:v>Ракт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електро!$H$15:$H$84</c:f>
              <c:numCache>
                <c:ptCount val="70"/>
                <c:pt idx="0">
                  <c:v>118935.80917360497</c:v>
                </c:pt>
                <c:pt idx="1">
                  <c:v>117845.43859224518</c:v>
                </c:pt>
                <c:pt idx="2">
                  <c:v>116759.72711478751</c:v>
                </c:pt>
                <c:pt idx="3">
                  <c:v>115678.67474123358</c:v>
                </c:pt>
                <c:pt idx="4">
                  <c:v>114602.281471585</c:v>
                </c:pt>
                <c:pt idx="5">
                  <c:v>113530.54730584339</c:v>
                </c:pt>
                <c:pt idx="6">
                  <c:v>112463.47224401044</c:v>
                </c:pt>
                <c:pt idx="7">
                  <c:v>111401.0562860878</c:v>
                </c:pt>
                <c:pt idx="8">
                  <c:v>110343.29943207723</c:v>
                </c:pt>
                <c:pt idx="9">
                  <c:v>109290.20168198038</c:v>
                </c:pt>
                <c:pt idx="10">
                  <c:v>108241.7630357991</c:v>
                </c:pt>
                <c:pt idx="11">
                  <c:v>107197.98349353511</c:v>
                </c:pt>
                <c:pt idx="12">
                  <c:v>106158.86305519023</c:v>
                </c:pt>
                <c:pt idx="13">
                  <c:v>105124.40172076634</c:v>
                </c:pt>
                <c:pt idx="14">
                  <c:v>104094.59949026519</c:v>
                </c:pt>
                <c:pt idx="15">
                  <c:v>103069.45636368875</c:v>
                </c:pt>
                <c:pt idx="16">
                  <c:v>102048.9723410389</c:v>
                </c:pt>
                <c:pt idx="17">
                  <c:v>101033.14742231762</c:v>
                </c:pt>
                <c:pt idx="18">
                  <c:v>100021.98160752685</c:v>
                </c:pt>
                <c:pt idx="19">
                  <c:v>99015.47489666851</c:v>
                </c:pt>
                <c:pt idx="20">
                  <c:v>98013.6272897447</c:v>
                </c:pt>
                <c:pt idx="21">
                  <c:v>97016.43878675747</c:v>
                </c:pt>
                <c:pt idx="22">
                  <c:v>96023.90938770892</c:v>
                </c:pt>
                <c:pt idx="23">
                  <c:v>95036.03909260107</c:v>
                </c:pt>
                <c:pt idx="24">
                  <c:v>94052.82790143618</c:v>
                </c:pt>
                <c:pt idx="25">
                  <c:v>93074.27581421635</c:v>
                </c:pt>
                <c:pt idx="26">
                  <c:v>92100.3828309438</c:v>
                </c:pt>
                <c:pt idx="27">
                  <c:v>91131.14895162077</c:v>
                </c:pt>
                <c:pt idx="28">
                  <c:v>90166.5741762495</c:v>
                </c:pt>
                <c:pt idx="29">
                  <c:v>89206.65850483238</c:v>
                </c:pt>
                <c:pt idx="30">
                  <c:v>88251.4019373717</c:v>
                </c:pt>
                <c:pt idx="31">
                  <c:v>87300.80447386981</c:v>
                </c:pt>
                <c:pt idx="32">
                  <c:v>86354.86611432915</c:v>
                </c:pt>
                <c:pt idx="33">
                  <c:v>85413.58685875217</c:v>
                </c:pt>
                <c:pt idx="34">
                  <c:v>84476.96670714134</c:v>
                </c:pt>
                <c:pt idx="35">
                  <c:v>83545.00565949922</c:v>
                </c:pt>
                <c:pt idx="36">
                  <c:v>82617.70371582833</c:v>
                </c:pt>
                <c:pt idx="37">
                  <c:v>81695.06087613126</c:v>
                </c:pt>
                <c:pt idx="38">
                  <c:v>80777.07714041072</c:v>
                </c:pt>
                <c:pt idx="39">
                  <c:v>79863.75250866932</c:v>
                </c:pt>
                <c:pt idx="40">
                  <c:v>78955.08698090982</c:v>
                </c:pt>
                <c:pt idx="41">
                  <c:v>78051.08055713499</c:v>
                </c:pt>
                <c:pt idx="42">
                  <c:v>77151.73323734761</c:v>
                </c:pt>
                <c:pt idx="43">
                  <c:v>76257.04502155054</c:v>
                </c:pt>
                <c:pt idx="44">
                  <c:v>75367.01590974671</c:v>
                </c:pt>
                <c:pt idx="45">
                  <c:v>74481.64590193902</c:v>
                </c:pt>
                <c:pt idx="46">
                  <c:v>73600.93499813051</c:v>
                </c:pt>
                <c:pt idx="47">
                  <c:v>72724.88319832417</c:v>
                </c:pt>
                <c:pt idx="48">
                  <c:v>71853.49050252313</c:v>
                </c:pt>
                <c:pt idx="49">
                  <c:v>70986.75691073052</c:v>
                </c:pt>
                <c:pt idx="50">
                  <c:v>70124.68242294948</c:v>
                </c:pt>
                <c:pt idx="51">
                  <c:v>69267.26703918332</c:v>
                </c:pt>
                <c:pt idx="52">
                  <c:v>68414.5107594353</c:v>
                </c:pt>
                <c:pt idx="53">
                  <c:v>67566.41358370875</c:v>
                </c:pt>
                <c:pt idx="54">
                  <c:v>66722.97551200709</c:v>
                </c:pt>
                <c:pt idx="55">
                  <c:v>65884.19654433378</c:v>
                </c:pt>
                <c:pt idx="56">
                  <c:v>65050.07668069234</c:v>
                </c:pt>
                <c:pt idx="57">
                  <c:v>64220.615921086326</c:v>
                </c:pt>
                <c:pt idx="58">
                  <c:v>63395.8142655194</c:v>
                </c:pt>
                <c:pt idx="59">
                  <c:v>62575.671713995216</c:v>
                </c:pt>
                <c:pt idx="60">
                  <c:v>61760.18826651757</c:v>
                </c:pt>
                <c:pt idx="61">
                  <c:v>60949.36392309026</c:v>
                </c:pt>
                <c:pt idx="62">
                  <c:v>60143.19868371718</c:v>
                </c:pt>
                <c:pt idx="63">
                  <c:v>59341.692548402265</c:v>
                </c:pt>
                <c:pt idx="64">
                  <c:v>58544.845517149566</c:v>
                </c:pt>
                <c:pt idx="65">
                  <c:v>57752.65758996314</c:v>
                </c:pt>
                <c:pt idx="66">
                  <c:v>56965.128766847156</c:v>
                </c:pt>
                <c:pt idx="67">
                  <c:v>56182.25904780586</c:v>
                </c:pt>
                <c:pt idx="68">
                  <c:v>55404.048432843534</c:v>
                </c:pt>
                <c:pt idx="69">
                  <c:v>54630.49692196457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електро!$I$13</c:f>
              <c:strCache>
                <c:ptCount val="1"/>
                <c:pt idx="0">
                  <c:v>hел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електро!$I$15:$I$84</c:f>
              <c:numCache>
                <c:ptCount val="70"/>
                <c:pt idx="0">
                  <c:v>0.46841673836689685</c:v>
                </c:pt>
                <c:pt idx="1">
                  <c:v>0.46684155201744065</c:v>
                </c:pt>
                <c:pt idx="2">
                  <c:v>0.4652663656671382</c:v>
                </c:pt>
                <c:pt idx="3">
                  <c:v>0.46369117931598086</c:v>
                </c:pt>
                <c:pt idx="4">
                  <c:v>0.4621159929639599</c:v>
                </c:pt>
                <c:pt idx="5">
                  <c:v>0.46054080661106633</c:v>
                </c:pt>
                <c:pt idx="6">
                  <c:v>0.45896562025729115</c:v>
                </c:pt>
                <c:pt idx="7">
                  <c:v>0.4573904339026253</c:v>
                </c:pt>
                <c:pt idx="8">
                  <c:v>0.45581524754705943</c:v>
                </c:pt>
                <c:pt idx="9">
                  <c:v>0.45424006119058413</c:v>
                </c:pt>
                <c:pt idx="10">
                  <c:v>0.45266487483318985</c:v>
                </c:pt>
                <c:pt idx="11">
                  <c:v>0.451089688474867</c:v>
                </c:pt>
                <c:pt idx="12">
                  <c:v>0.44951450211560573</c:v>
                </c:pt>
                <c:pt idx="13">
                  <c:v>0.4479393157553961</c:v>
                </c:pt>
                <c:pt idx="14">
                  <c:v>0.446364129394228</c:v>
                </c:pt>
                <c:pt idx="15">
                  <c:v>0.44478894303209116</c:v>
                </c:pt>
                <c:pt idx="16">
                  <c:v>0.4432137566689753</c:v>
                </c:pt>
                <c:pt idx="17">
                  <c:v>0.4416385703048699</c:v>
                </c:pt>
                <c:pt idx="18">
                  <c:v>0.4400633839397641</c:v>
                </c:pt>
                <c:pt idx="19">
                  <c:v>0.4384881975736473</c:v>
                </c:pt>
                <c:pt idx="20">
                  <c:v>0.43691301120650833</c:v>
                </c:pt>
                <c:pt idx="21">
                  <c:v>0.43533782483833616</c:v>
                </c:pt>
                <c:pt idx="22">
                  <c:v>0.43376263846911944</c:v>
                </c:pt>
                <c:pt idx="23">
                  <c:v>0.4321874520988467</c:v>
                </c:pt>
                <c:pt idx="24">
                  <c:v>0.43061226572750616</c:v>
                </c:pt>
                <c:pt idx="25">
                  <c:v>0.4290370793550862</c:v>
                </c:pt>
                <c:pt idx="26">
                  <c:v>0.4274618929815747</c:v>
                </c:pt>
                <c:pt idx="27">
                  <c:v>0.42588670660695943</c:v>
                </c:pt>
                <c:pt idx="28">
                  <c:v>0.42431152023122815</c:v>
                </c:pt>
                <c:pt idx="29">
                  <c:v>0.42273633385436826</c:v>
                </c:pt>
                <c:pt idx="30">
                  <c:v>0.42116114747636696</c:v>
                </c:pt>
                <c:pt idx="31">
                  <c:v>0.4195859610972114</c:v>
                </c:pt>
                <c:pt idx="32">
                  <c:v>0.41801077471688847</c:v>
                </c:pt>
                <c:pt idx="33">
                  <c:v>0.41643558833538474</c:v>
                </c:pt>
                <c:pt idx="34">
                  <c:v>0.4148604019526867</c:v>
                </c:pt>
                <c:pt idx="35">
                  <c:v>0.41328521556878073</c:v>
                </c:pt>
                <c:pt idx="36">
                  <c:v>0.41171002918365274</c:v>
                </c:pt>
                <c:pt idx="37">
                  <c:v>0.41013484279728846</c:v>
                </c:pt>
                <c:pt idx="38">
                  <c:v>0.40855965640967384</c:v>
                </c:pt>
                <c:pt idx="39">
                  <c:v>0.4069844700207939</c:v>
                </c:pt>
                <c:pt idx="40">
                  <c:v>0.405409283630634</c:v>
                </c:pt>
                <c:pt idx="41">
                  <c:v>0.4038340972391789</c:v>
                </c:pt>
                <c:pt idx="42">
                  <c:v>0.4022589108464134</c:v>
                </c:pt>
                <c:pt idx="43">
                  <c:v>0.4006837244523219</c:v>
                </c:pt>
                <c:pt idx="44">
                  <c:v>0.3991085380568885</c:v>
                </c:pt>
                <c:pt idx="45">
                  <c:v>0.3975333516600973</c:v>
                </c:pt>
                <c:pt idx="46">
                  <c:v>0.3959581652619318</c:v>
                </c:pt>
                <c:pt idx="47">
                  <c:v>0.3943829788623755</c:v>
                </c:pt>
                <c:pt idx="48">
                  <c:v>0.3928077924614114</c:v>
                </c:pt>
                <c:pt idx="49">
                  <c:v>0.3912326060590225</c:v>
                </c:pt>
                <c:pt idx="50">
                  <c:v>0.38965741965519124</c:v>
                </c:pt>
                <c:pt idx="51">
                  <c:v>0.3880822332499</c:v>
                </c:pt>
                <c:pt idx="52">
                  <c:v>0.3865070468431308</c:v>
                </c:pt>
                <c:pt idx="53">
                  <c:v>0.38493186043486516</c:v>
                </c:pt>
                <c:pt idx="54">
                  <c:v>0.3833566740250846</c:v>
                </c:pt>
                <c:pt idx="55">
                  <c:v>0.3817814876137702</c:v>
                </c:pt>
                <c:pt idx="56">
                  <c:v>0.3802063012009026</c:v>
                </c:pt>
                <c:pt idx="57">
                  <c:v>0.3786311147864623</c:v>
                </c:pt>
                <c:pt idx="58">
                  <c:v>0.37705592837042945</c:v>
                </c:pt>
                <c:pt idx="59">
                  <c:v>0.37548074195278364</c:v>
                </c:pt>
                <c:pt idx="60">
                  <c:v>0.3739055555335044</c:v>
                </c:pt>
                <c:pt idx="61">
                  <c:v>0.3723303691125707</c:v>
                </c:pt>
                <c:pt idx="62">
                  <c:v>0.3707551826899612</c:v>
                </c:pt>
                <c:pt idx="63">
                  <c:v>0.36917999626565434</c:v>
                </c:pt>
                <c:pt idx="64">
                  <c:v>0.3676048098396279</c:v>
                </c:pt>
                <c:pt idx="65">
                  <c:v>0.3660296234118594</c:v>
                </c:pt>
                <c:pt idx="66">
                  <c:v>0.3644544369823261</c:v>
                </c:pt>
                <c:pt idx="67">
                  <c:v>0.3628792505510046</c:v>
                </c:pt>
                <c:pt idx="68">
                  <c:v>0.3613040641178713</c:v>
                </c:pt>
                <c:pt idx="69">
                  <c:v>0.359728877682902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електро!$J$13</c:f>
              <c:strCache>
                <c:ptCount val="1"/>
                <c:pt idx="0">
                  <c:v>Соs Y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електро!$J$15:$J$84</c:f>
              <c:numCache>
                <c:ptCount val="70"/>
                <c:pt idx="0">
                  <c:v>12407679.094340146</c:v>
                </c:pt>
                <c:pt idx="1">
                  <c:v>7080174.830869215</c:v>
                </c:pt>
                <c:pt idx="2">
                  <c:v>6997457.389197672</c:v>
                </c:pt>
                <c:pt idx="3">
                  <c:v>6915225.983362638</c:v>
                </c:pt>
                <c:pt idx="4">
                  <c:v>6833480.613364468</c:v>
                </c:pt>
                <c:pt idx="5">
                  <c:v>6752221.279203509</c:v>
                </c:pt>
                <c:pt idx="6">
                  <c:v>6671447.980880113</c:v>
                </c:pt>
                <c:pt idx="7">
                  <c:v>6591160.718394639</c:v>
                </c:pt>
                <c:pt idx="8">
                  <c:v>6511359.491747451</c:v>
                </c:pt>
                <c:pt idx="9">
                  <c:v>6432044.300938911</c:v>
                </c:pt>
                <c:pt idx="10">
                  <c:v>6353215.145969393</c:v>
                </c:pt>
                <c:pt idx="11">
                  <c:v>6274872.0268392665</c:v>
                </c:pt>
                <c:pt idx="12">
                  <c:v>6197014.943548915</c:v>
                </c:pt>
                <c:pt idx="13">
                  <c:v>6119643.896098718</c:v>
                </c:pt>
                <c:pt idx="14">
                  <c:v>6042758.884489057</c:v>
                </c:pt>
                <c:pt idx="15">
                  <c:v>5966359.9087203285</c:v>
                </c:pt>
                <c:pt idx="16">
                  <c:v>5890446.968792925</c:v>
                </c:pt>
                <c:pt idx="17">
                  <c:v>5815020.064707249</c:v>
                </c:pt>
                <c:pt idx="18">
                  <c:v>5740079.196463701</c:v>
                </c:pt>
                <c:pt idx="19">
                  <c:v>5665624.36406269</c:v>
                </c:pt>
                <c:pt idx="20">
                  <c:v>5591655.567504628</c:v>
                </c:pt>
                <c:pt idx="21">
                  <c:v>5518172.80678993</c:v>
                </c:pt>
                <c:pt idx="22">
                  <c:v>5445176.081919023</c:v>
                </c:pt>
                <c:pt idx="23">
                  <c:v>5372665.39289233</c:v>
                </c:pt>
                <c:pt idx="24">
                  <c:v>5300640.739710284</c:v>
                </c:pt>
                <c:pt idx="25">
                  <c:v>5229102.122373321</c:v>
                </c:pt>
                <c:pt idx="26">
                  <c:v>5158049.540881881</c:v>
                </c:pt>
                <c:pt idx="27">
                  <c:v>5087482.995236409</c:v>
                </c:pt>
                <c:pt idx="28">
                  <c:v>5017402.485437358</c:v>
                </c:pt>
                <c:pt idx="29">
                  <c:v>4947808.011485184</c:v>
                </c:pt>
                <c:pt idx="30">
                  <c:v>4878699.573380349</c:v>
                </c:pt>
                <c:pt idx="31">
                  <c:v>4810077.171123316</c:v>
                </c:pt>
                <c:pt idx="32">
                  <c:v>4741940.804714559</c:v>
                </c:pt>
                <c:pt idx="33">
                  <c:v>4674290.474154553</c:v>
                </c:pt>
                <c:pt idx="34">
                  <c:v>4607126.179443783</c:v>
                </c:pt>
                <c:pt idx="35">
                  <c:v>4540447.920582737</c:v>
                </c:pt>
                <c:pt idx="36">
                  <c:v>4474255.697571907</c:v>
                </c:pt>
                <c:pt idx="37">
                  <c:v>4408549.51041179</c:v>
                </c:pt>
                <c:pt idx="38">
                  <c:v>4343329.359102893</c:v>
                </c:pt>
                <c:pt idx="39">
                  <c:v>4278595.243645726</c:v>
                </c:pt>
                <c:pt idx="40">
                  <c:v>4214347.164040806</c:v>
                </c:pt>
                <c:pt idx="41">
                  <c:v>4150585.120288653</c:v>
                </c:pt>
                <c:pt idx="42">
                  <c:v>4087309.112389796</c:v>
                </c:pt>
                <c:pt idx="43">
                  <c:v>4024519.140344769</c:v>
                </c:pt>
                <c:pt idx="44">
                  <c:v>3962215.2041541114</c:v>
                </c:pt>
                <c:pt idx="45">
                  <c:v>3900397.3038183707</c:v>
                </c:pt>
                <c:pt idx="46">
                  <c:v>3839065.4393380997</c:v>
                </c:pt>
                <c:pt idx="47">
                  <c:v>3778219.6107138554</c:v>
                </c:pt>
                <c:pt idx="48">
                  <c:v>3717859.817946203</c:v>
                </c:pt>
                <c:pt idx="49">
                  <c:v>3657986.061035717</c:v>
                </c:pt>
                <c:pt idx="50">
                  <c:v>3598598.3399829734</c:v>
                </c:pt>
                <c:pt idx="51">
                  <c:v>3539696.6547885574</c:v>
                </c:pt>
                <c:pt idx="52">
                  <c:v>3481281.005453062</c:v>
                </c:pt>
                <c:pt idx="53">
                  <c:v>3423351.391977082</c:v>
                </c:pt>
                <c:pt idx="54">
                  <c:v>3365907.8143612267</c:v>
                </c:pt>
                <c:pt idx="55">
                  <c:v>3308950.272606107</c:v>
                </c:pt>
                <c:pt idx="56">
                  <c:v>3252478.766712341</c:v>
                </c:pt>
                <c:pt idx="57">
                  <c:v>3196493.296680556</c:v>
                </c:pt>
                <c:pt idx="58">
                  <c:v>3140993.862511387</c:v>
                </c:pt>
                <c:pt idx="59">
                  <c:v>3085980.464205472</c:v>
                </c:pt>
                <c:pt idx="60">
                  <c:v>3031453.1017634617</c:v>
                </c:pt>
                <c:pt idx="61">
                  <c:v>2977411.775186011</c:v>
                </c:pt>
                <c:pt idx="62">
                  <c:v>2923856.4844737807</c:v>
                </c:pt>
                <c:pt idx="63">
                  <c:v>2870787.2296274453</c:v>
                </c:pt>
                <c:pt idx="64">
                  <c:v>2818204.010647682</c:v>
                </c:pt>
                <c:pt idx="65">
                  <c:v>2766106.827535176</c:v>
                </c:pt>
                <c:pt idx="66">
                  <c:v>2714495.6802906226</c:v>
                </c:pt>
                <c:pt idx="67">
                  <c:v>2663370.5689147236</c:v>
                </c:pt>
                <c:pt idx="68">
                  <c:v>2612731.493408188</c:v>
                </c:pt>
                <c:pt idx="69">
                  <c:v>2562578.453771736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електро!$K$13</c:f>
              <c:strCache>
                <c:ptCount val="1"/>
                <c:pt idx="0">
                  <c:v>q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електро!$K$15:$K$84</c:f>
              <c:numCache>
                <c:ptCount val="70"/>
                <c:pt idx="0">
                  <c:v>95.74614851256773</c:v>
                </c:pt>
                <c:pt idx="1">
                  <c:v>94.8682333946294</c:v>
                </c:pt>
                <c:pt idx="2">
                  <c:v>93.99406956807768</c:v>
                </c:pt>
                <c:pt idx="3">
                  <c:v>93.12365703291377</c:v>
                </c:pt>
                <c:pt idx="4">
                  <c:v>92.25699578913905</c:v>
                </c:pt>
                <c:pt idx="5">
                  <c:v>91.39408583675484</c:v>
                </c:pt>
                <c:pt idx="6">
                  <c:v>90.53492717576242</c:v>
                </c:pt>
                <c:pt idx="7">
                  <c:v>89.67951980616317</c:v>
                </c:pt>
                <c:pt idx="8">
                  <c:v>88.82786372795853</c:v>
                </c:pt>
                <c:pt idx="9">
                  <c:v>87.97995894114979</c:v>
                </c:pt>
                <c:pt idx="10">
                  <c:v>87.13580544573844</c:v>
                </c:pt>
                <c:pt idx="11">
                  <c:v>86.29540324172588</c:v>
                </c:pt>
                <c:pt idx="12">
                  <c:v>85.45875232911358</c:v>
                </c:pt>
                <c:pt idx="13">
                  <c:v>84.62585270790302</c:v>
                </c:pt>
                <c:pt idx="14">
                  <c:v>83.79670437809565</c:v>
                </c:pt>
                <c:pt idx="15">
                  <c:v>82.97130733969303</c:v>
                </c:pt>
                <c:pt idx="16">
                  <c:v>82.14966159269667</c:v>
                </c:pt>
                <c:pt idx="17">
                  <c:v>81.3317671371082</c:v>
                </c:pt>
                <c:pt idx="18">
                  <c:v>80.51762397292913</c:v>
                </c:pt>
                <c:pt idx="19">
                  <c:v>79.70723210016106</c:v>
                </c:pt>
                <c:pt idx="20">
                  <c:v>78.90059151880567</c:v>
                </c:pt>
                <c:pt idx="21">
                  <c:v>78.09770222886458</c:v>
                </c:pt>
                <c:pt idx="22">
                  <c:v>77.29856423033947</c:v>
                </c:pt>
                <c:pt idx="23">
                  <c:v>76.50317752323203</c:v>
                </c:pt>
                <c:pt idx="24">
                  <c:v>75.711542107544</c:v>
                </c:pt>
                <c:pt idx="25">
                  <c:v>74.92365798327715</c:v>
                </c:pt>
                <c:pt idx="26">
                  <c:v>74.13952515043322</c:v>
                </c:pt>
                <c:pt idx="27">
                  <c:v>73.35914360901401</c:v>
                </c:pt>
                <c:pt idx="28">
                  <c:v>72.58251335902138</c:v>
                </c:pt>
                <c:pt idx="29">
                  <c:v>71.80963440045717</c:v>
                </c:pt>
                <c:pt idx="30">
                  <c:v>71.04050673332328</c:v>
                </c:pt>
                <c:pt idx="31">
                  <c:v>70.27513035762158</c:v>
                </c:pt>
                <c:pt idx="32">
                  <c:v>69.51350527335407</c:v>
                </c:pt>
                <c:pt idx="33">
                  <c:v>68.75563148052267</c:v>
                </c:pt>
                <c:pt idx="34">
                  <c:v>68.0015089791294</c:v>
                </c:pt>
                <c:pt idx="35">
                  <c:v>67.25113776917631</c:v>
                </c:pt>
                <c:pt idx="36">
                  <c:v>66.50451785066545</c:v>
                </c:pt>
                <c:pt idx="37">
                  <c:v>65.76164922359888</c:v>
                </c:pt>
                <c:pt idx="38">
                  <c:v>65.02253188797879</c:v>
                </c:pt>
                <c:pt idx="39">
                  <c:v>64.28716584380727</c:v>
                </c:pt>
                <c:pt idx="40">
                  <c:v>63.55555109108658</c:v>
                </c:pt>
                <c:pt idx="41">
                  <c:v>62.827687629818904</c:v>
                </c:pt>
                <c:pt idx="42">
                  <c:v>62.10357546000652</c:v>
                </c:pt>
                <c:pt idx="43">
                  <c:v>61.3832145816517</c:v>
                </c:pt>
                <c:pt idx="44">
                  <c:v>60.66660499475682</c:v>
                </c:pt>
                <c:pt idx="45">
                  <c:v>59.95374669932421</c:v>
                </c:pt>
                <c:pt idx="46">
                  <c:v>59.24463969535632</c:v>
                </c:pt>
                <c:pt idx="47">
                  <c:v>58.53928398285557</c:v>
                </c:pt>
                <c:pt idx="48">
                  <c:v>57.83767956182442</c:v>
                </c:pt>
                <c:pt idx="49">
                  <c:v>57.139826432265465</c:v>
                </c:pt>
                <c:pt idx="50">
                  <c:v>56.44572459418122</c:v>
                </c:pt>
                <c:pt idx="51">
                  <c:v>55.755374047574314</c:v>
                </c:pt>
                <c:pt idx="52">
                  <c:v>55.0687747924474</c:v>
                </c:pt>
                <c:pt idx="53">
                  <c:v>54.385926828803136</c:v>
                </c:pt>
                <c:pt idx="54">
                  <c:v>53.70683015664431</c:v>
                </c:pt>
                <c:pt idx="55">
                  <c:v>53.03148477597369</c:v>
                </c:pt>
                <c:pt idx="56">
                  <c:v>52.359890686794095</c:v>
                </c:pt>
                <c:pt idx="57">
                  <c:v>51.69204788910841</c:v>
                </c:pt>
                <c:pt idx="58">
                  <c:v>51.02795638291957</c:v>
                </c:pt>
                <c:pt idx="59">
                  <c:v>50.367616168230526</c:v>
                </c:pt>
                <c:pt idx="60">
                  <c:v>49.711027245044335</c:v>
                </c:pt>
                <c:pt idx="61">
                  <c:v>49.05818961336404</c:v>
                </c:pt>
                <c:pt idx="62">
                  <c:v>48.409103273192784</c:v>
                </c:pt>
                <c:pt idx="63">
                  <c:v>47.76376822453375</c:v>
                </c:pt>
                <c:pt idx="64">
                  <c:v>47.12218446739018</c:v>
                </c:pt>
                <c:pt idx="65">
                  <c:v>46.48435200176535</c:v>
                </c:pt>
                <c:pt idx="66">
                  <c:v>45.85027082766263</c:v>
                </c:pt>
                <c:pt idx="67">
                  <c:v>45.2199409450854</c:v>
                </c:pt>
                <c:pt idx="68">
                  <c:v>44.59336235403714</c:v>
                </c:pt>
                <c:pt idx="69">
                  <c:v>43.970535054521385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електро!$L$13</c:f>
              <c:strCache>
                <c:ptCount val="1"/>
                <c:pt idx="0">
                  <c:v>W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електро!$L$15:$L$84</c:f>
              <c:numCache>
                <c:ptCount val="70"/>
                <c:pt idx="0">
                  <c:v>1242.1994098069997</c:v>
                </c:pt>
                <c:pt idx="1">
                  <c:v>1242.2012551033395</c:v>
                </c:pt>
                <c:pt idx="2">
                  <c:v>1242.203126764516</c:v>
                </c:pt>
                <c:pt idx="3">
                  <c:v>1242.2050253068126</c:v>
                </c:pt>
                <c:pt idx="4">
                  <c:v>1242.2069512594787</c:v>
                </c:pt>
                <c:pt idx="5">
                  <c:v>1242.2089051651326</c:v>
                </c:pt>
                <c:pt idx="6">
                  <c:v>1242.2108875801762</c:v>
                </c:pt>
                <c:pt idx="7">
                  <c:v>1242.2128990752226</c:v>
                </c:pt>
                <c:pt idx="8">
                  <c:v>1242.214940235546</c:v>
                </c:pt>
                <c:pt idx="9">
                  <c:v>1242.2170116615434</c:v>
                </c:pt>
                <c:pt idx="10">
                  <c:v>1242.219113969215</c:v>
                </c:pt>
                <c:pt idx="11">
                  <c:v>1242.2212477906626</c:v>
                </c:pt>
                <c:pt idx="12">
                  <c:v>1242.2234137746084</c:v>
                </c:pt>
                <c:pt idx="13">
                  <c:v>1242.2256125869324</c:v>
                </c:pt>
                <c:pt idx="14">
                  <c:v>1242.2278449112298</c:v>
                </c:pt>
                <c:pt idx="15">
                  <c:v>1242.2301114493935</c:v>
                </c:pt>
                <c:pt idx="16">
                  <c:v>1242.2324129222138</c:v>
                </c:pt>
                <c:pt idx="17">
                  <c:v>1242.234750070007</c:v>
                </c:pt>
                <c:pt idx="18">
                  <c:v>1242.2371236532674</c:v>
                </c:pt>
                <c:pt idx="19">
                  <c:v>1242.2395344533415</c:v>
                </c:pt>
                <c:pt idx="20">
                  <c:v>1242.2419832731357</c:v>
                </c:pt>
                <c:pt idx="21">
                  <c:v>1242.244470937848</c:v>
                </c:pt>
                <c:pt idx="22">
                  <c:v>1242.2469982957305</c:v>
                </c:pt>
                <c:pt idx="23">
                  <c:v>1242.2495662188815</c:v>
                </c:pt>
                <c:pt idx="24">
                  <c:v>1242.2521756040765</c:v>
                </c:pt>
                <c:pt idx="25">
                  <c:v>1242.2548273736234</c:v>
                </c:pt>
                <c:pt idx="26">
                  <c:v>1242.2575224762636</c:v>
                </c:pt>
                <c:pt idx="27">
                  <c:v>1242.2602618881037</c:v>
                </c:pt>
                <c:pt idx="28">
                  <c:v>1242.2630466135902</c:v>
                </c:pt>
                <c:pt idx="29">
                  <c:v>1242.2658776865246</c:v>
                </c:pt>
                <c:pt idx="30">
                  <c:v>1242.2687561711216</c:v>
                </c:pt>
                <c:pt idx="31">
                  <c:v>1242.271683163114</c:v>
                </c:pt>
                <c:pt idx="32">
                  <c:v>1242.2746597909043</c:v>
                </c:pt>
                <c:pt idx="33">
                  <c:v>1242.277687216769</c:v>
                </c:pt>
                <c:pt idx="34">
                  <c:v>1242.2807666381123</c:v>
                </c:pt>
                <c:pt idx="35">
                  <c:v>1242.283899288779</c:v>
                </c:pt>
                <c:pt idx="36">
                  <c:v>1242.2870864404238</c:v>
                </c:pt>
                <c:pt idx="37">
                  <c:v>1242.2903294039438</c:v>
                </c:pt>
                <c:pt idx="38">
                  <c:v>1242.2936295309748</c:v>
                </c:pt>
                <c:pt idx="39">
                  <c:v>1242.2969882154562</c:v>
                </c:pt>
                <c:pt idx="40">
                  <c:v>1242.3004068952675</c:v>
                </c:pt>
                <c:pt idx="41">
                  <c:v>1242.3038870539435</c:v>
                </c:pt>
                <c:pt idx="42">
                  <c:v>1242.3074302224645</c:v>
                </c:pt>
                <c:pt idx="43">
                  <c:v>1242.3110379811362</c:v>
                </c:pt>
                <c:pt idx="44">
                  <c:v>1242.3147119615544</c:v>
                </c:pt>
                <c:pt idx="45">
                  <c:v>1242.318453848666</c:v>
                </c:pt>
                <c:pt idx="46">
                  <c:v>1242.3222653829298</c:v>
                </c:pt>
                <c:pt idx="47">
                  <c:v>1242.3261483625788</c:v>
                </c:pt>
                <c:pt idx="48">
                  <c:v>1242.3301046459997</c:v>
                </c:pt>
                <c:pt idx="49">
                  <c:v>1242.3341361542189</c:v>
                </c:pt>
                <c:pt idx="50">
                  <c:v>1242.3382448735254</c:v>
                </c:pt>
                <c:pt idx="51">
                  <c:v>1242.3424328582162</c:v>
                </c:pt>
                <c:pt idx="52">
                  <c:v>1242.3467022334814</c:v>
                </c:pt>
                <c:pt idx="53">
                  <c:v>1242.3510551984405</c:v>
                </c:pt>
                <c:pt idx="54">
                  <c:v>1242.3554940293288</c:v>
                </c:pt>
                <c:pt idx="55">
                  <c:v>1242.3600210828552</c:v>
                </c:pt>
                <c:pt idx="56">
                  <c:v>1242.364638799731</c:v>
                </c:pt>
                <c:pt idx="57">
                  <c:v>1242.3693497083852</c:v>
                </c:pt>
                <c:pt idx="58">
                  <c:v>1242.3741564288803</c:v>
                </c:pt>
                <c:pt idx="59">
                  <c:v>1242.3790616770334</c:v>
                </c:pt>
                <c:pt idx="60">
                  <c:v>1242.3840682687644</c:v>
                </c:pt>
                <c:pt idx="61">
                  <c:v>1242.3891791246801</c:v>
                </c:pt>
                <c:pt idx="62">
                  <c:v>1242.3943972749091</c:v>
                </c:pt>
                <c:pt idx="63">
                  <c:v>1242.3997258642073</c:v>
                </c:pt>
                <c:pt idx="64">
                  <c:v>1242.40516815735</c:v>
                </c:pt>
                <c:pt idx="65">
                  <c:v>1242.4107275448273</c:v>
                </c:pt>
                <c:pt idx="66">
                  <c:v>1242.4164075488657</c:v>
                </c:pt>
                <c:pt idx="67">
                  <c:v>1242.4222118297985</c:v>
                </c:pt>
                <c:pt idx="68">
                  <c:v>1242.4281441928022</c:v>
                </c:pt>
                <c:pt idx="69">
                  <c:v>1242.4342085950361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електро!$M$13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електро!$M$15:$M$84</c:f>
              <c:numCache>
                <c:ptCount val="70"/>
                <c:pt idx="0">
                  <c:v>1.0444284344959727E-05</c:v>
                </c:pt>
                <c:pt idx="1">
                  <c:v>1.0540936246174594E-05</c:v>
                </c:pt>
                <c:pt idx="2">
                  <c:v>1.0638969081721947E-05</c:v>
                </c:pt>
                <c:pt idx="3">
                  <c:v>1.0738409893487737E-05</c:v>
                </c:pt>
                <c:pt idx="4">
                  <c:v>1.0839286402578967E-05</c:v>
                </c:pt>
                <c:pt idx="5">
                  <c:v>1.0941627030289113E-05</c:v>
                </c:pt>
                <c:pt idx="6">
                  <c:v>1.1045460919835095E-05</c:v>
                </c:pt>
                <c:pt idx="7">
                  <c:v>1.1150817958898969E-05</c:v>
                </c:pt>
                <c:pt idx="8">
                  <c:v>1.1257728803009034E-05</c:v>
                </c:pt>
                <c:pt idx="9">
                  <c:v>1.1366224899796836E-05</c:v>
                </c:pt>
                <c:pt idx="10">
                  <c:v>1.1476338514168257E-05</c:v>
                </c:pt>
                <c:pt idx="11">
                  <c:v>1.1588102754428945E-05</c:v>
                </c:pt>
                <c:pt idx="12">
                  <c:v>1.1701551599406232E-05</c:v>
                </c:pt>
                <c:pt idx="13">
                  <c:v>1.1816719926611886E-05</c:v>
                </c:pt>
                <c:pt idx="14">
                  <c:v>1.1933643541492293E-05</c:v>
                </c:pt>
                <c:pt idx="15">
                  <c:v>1.205235920781503E-05</c:v>
                </c:pt>
                <c:pt idx="16">
                  <c:v>1.217290467924341E-05</c:v>
                </c:pt>
                <c:pt idx="17">
                  <c:v>1.2295318732153096E-05</c:v>
                </c:pt>
                <c:pt idx="18">
                  <c:v>1.2419641199747904E-05</c:v>
                </c:pt>
                <c:pt idx="19">
                  <c:v>1.2545913007534724E-05</c:v>
                </c:pt>
                <c:pt idx="20">
                  <c:v>1.2674176210220854E-05</c:v>
                </c:pt>
                <c:pt idx="21">
                  <c:v>1.2804474030100266E-05</c:v>
                </c:pt>
                <c:pt idx="22">
                  <c:v>1.2936850896998975E-05</c:v>
                </c:pt>
                <c:pt idx="23">
                  <c:v>1.3071352489853458E-05</c:v>
                </c:pt>
                <c:pt idx="24">
                  <c:v>1.3208025780000044E-05</c:v>
                </c:pt>
                <c:pt idx="25">
                  <c:v>1.3346919076257576E-05</c:v>
                </c:pt>
                <c:pt idx="26">
                  <c:v>1.3488082071890054E-05</c:v>
                </c:pt>
                <c:pt idx="27">
                  <c:v>1.3631565893540842E-05</c:v>
                </c:pt>
                <c:pt idx="28">
                  <c:v>1.3777423152235176E-05</c:v>
                </c:pt>
                <c:pt idx="29">
                  <c:v>1.3925707996553087E-05</c:v>
                </c:pt>
                <c:pt idx="30">
                  <c:v>1.4076476168080677E-05</c:v>
                </c:pt>
                <c:pt idx="31">
                  <c:v>1.4229785059253847E-05</c:v>
                </c:pt>
                <c:pt idx="32">
                  <c:v>1.438569377371508E-05</c:v>
                </c:pt>
                <c:pt idx="33">
                  <c:v>1.4544263189311026E-05</c:v>
                </c:pt>
                <c:pt idx="34">
                  <c:v>1.4705556023865792E-05</c:v>
                </c:pt>
                <c:pt idx="35">
                  <c:v>1.4869636903873128E-05</c:v>
                </c:pt>
                <c:pt idx="36">
                  <c:v>1.503657243625884E-05</c:v>
                </c:pt>
                <c:pt idx="37">
                  <c:v>1.5206431283373978E-05</c:v>
                </c:pt>
                <c:pt idx="38">
                  <c:v>1.5379284241388913E-05</c:v>
                </c:pt>
                <c:pt idx="39">
                  <c:v>1.555520432226877E-05</c:v>
                </c:pt>
                <c:pt idx="40">
                  <c:v>1.5734266839521533E-05</c:v>
                </c:pt>
                <c:pt idx="41">
                  <c:v>1.591654949792209E-05</c:v>
                </c:pt>
                <c:pt idx="42">
                  <c:v>1.6102132487427885E-05</c:v>
                </c:pt>
                <c:pt idx="43">
                  <c:v>1.6291098581515378E-05</c:v>
                </c:pt>
                <c:pt idx="44">
                  <c:v>1.6483533240180925E-05</c:v>
                </c:pt>
                <c:pt idx="45">
                  <c:v>1.667952471786508E-05</c:v>
                </c:pt>
                <c:pt idx="46">
                  <c:v>1.6879164176575816E-05</c:v>
                </c:pt>
                <c:pt idx="47">
                  <c:v>1.708254580450404E-05</c:v>
                </c:pt>
                <c:pt idx="48">
                  <c:v>1.728976694044356E-05</c:v>
                </c:pt>
                <c:pt idx="49">
                  <c:v>1.750092820434828E-05</c:v>
                </c:pt>
                <c:pt idx="50">
                  <c:v>1.7716133634381343E-05</c:v>
                </c:pt>
                <c:pt idx="51">
                  <c:v>1.7935490830834195E-05</c:v>
                </c:pt>
                <c:pt idx="52">
                  <c:v>1.8159111107319363E-05</c:v>
                </c:pt>
                <c:pt idx="53">
                  <c:v>1.8387109649667562E-05</c:v>
                </c:pt>
                <c:pt idx="54">
                  <c:v>1.8619605682989385E-05</c:v>
                </c:pt>
                <c:pt idx="55">
                  <c:v>1.8856722647393376E-05</c:v>
                </c:pt>
                <c:pt idx="56">
                  <c:v>1.909858838288626E-05</c:v>
                </c:pt>
                <c:pt idx="57">
                  <c:v>1.9345335324018022E-05</c:v>
                </c:pt>
                <c:pt idx="58">
                  <c:v>1.959710070487414E-05</c:v>
                </c:pt>
                <c:pt idx="59">
                  <c:v>1.9854026775060125E-05</c:v>
                </c:pt>
                <c:pt idx="60">
                  <c:v>2.0116261027369728E-05</c:v>
                </c:pt>
                <c:pt idx="61">
                  <c:v>2.038395643787858E-05</c:v>
                </c:pt>
                <c:pt idx="62">
                  <c:v>2.0657271719258722E-05</c:v>
                </c:pt>
                <c:pt idx="63">
                  <c:v>2.0936371588168632E-05</c:v>
                </c:pt>
                <c:pt idx="64">
                  <c:v>2.1221427047636703E-05</c:v>
                </c:pt>
                <c:pt idx="65">
                  <c:v>2.1512615685425125E-05</c:v>
                </c:pt>
                <c:pt idx="66">
                  <c:v>2.181012198943599E-05</c:v>
                </c:pt>
                <c:pt idx="67">
                  <c:v>2.2114137681302793E-05</c:v>
                </c:pt>
                <c:pt idx="68">
                  <c:v>2.2424862069398716E-05</c:v>
                </c:pt>
                <c:pt idx="69">
                  <c:v>2.2742502422589294E-05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електро!$N$13</c:f>
              <c:strCache>
                <c:ptCount val="1"/>
                <c:pt idx="0">
                  <c:v>h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val>
            <c:numRef>
              <c:f>електро!$N$15:$N$84</c:f>
              <c:numCache>
                <c:ptCount val="70"/>
                <c:pt idx="0">
                  <c:v>0.3332798234579125</c:v>
                </c:pt>
                <c:pt idx="1">
                  <c:v>0.3332793283690243</c:v>
                </c:pt>
                <c:pt idx="2">
                  <c:v>0.33327882620801186</c:v>
                </c:pt>
                <c:pt idx="3">
                  <c:v>0.3332783168364224</c:v>
                </c:pt>
                <c:pt idx="4">
                  <c:v>0.33327780011232727</c:v>
                </c:pt>
                <c:pt idx="5">
                  <c:v>0.3332772758902135</c:v>
                </c:pt>
                <c:pt idx="6">
                  <c:v>0.33327674402087315</c:v>
                </c:pt>
                <c:pt idx="7">
                  <c:v>0.3332762043512882</c:v>
                </c:pt>
                <c:pt idx="8">
                  <c:v>0.33327565672451037</c:v>
                </c:pt>
                <c:pt idx="9">
                  <c:v>0.33327510097953733</c:v>
                </c:pt>
                <c:pt idx="10">
                  <c:v>0.33327453695118386</c:v>
                </c:pt>
                <c:pt idx="11">
                  <c:v>0.3332739644699482</c:v>
                </c:pt>
                <c:pt idx="12">
                  <c:v>0.3332733833618733</c:v>
                </c:pt>
                <c:pt idx="13">
                  <c:v>0.33327279344840255</c:v>
                </c:pt>
                <c:pt idx="14">
                  <c:v>0.3332721945462304</c:v>
                </c:pt>
                <c:pt idx="15">
                  <c:v>0.33327158646714683</c:v>
                </c:pt>
                <c:pt idx="16">
                  <c:v>0.3332709690178756</c:v>
                </c:pt>
                <c:pt idx="17">
                  <c:v>0.3332703419999068</c:v>
                </c:pt>
                <c:pt idx="18">
                  <c:v>0.3332697052093216</c:v>
                </c:pt>
                <c:pt idx="19">
                  <c:v>0.33326905843661175</c:v>
                </c:pt>
                <c:pt idx="20">
                  <c:v>0.3332684014664899</c:v>
                </c:pt>
                <c:pt idx="21">
                  <c:v>0.33326773407769367</c:v>
                </c:pt>
                <c:pt idx="22">
                  <c:v>0.3332670560427813</c:v>
                </c:pt>
                <c:pt idx="23">
                  <c:v>0.33326636712791907</c:v>
                </c:pt>
                <c:pt idx="24">
                  <c:v>0.3332656670926594</c:v>
                </c:pt>
                <c:pt idx="25">
                  <c:v>0.3332649556897109</c:v>
                </c:pt>
                <c:pt idx="26">
                  <c:v>0.33326423266469735</c:v>
                </c:pt>
                <c:pt idx="27">
                  <c:v>0.3332634977559082</c:v>
                </c:pt>
                <c:pt idx="28">
                  <c:v>0.3332627506940372</c:v>
                </c:pt>
                <c:pt idx="29">
                  <c:v>0.33326199120191036</c:v>
                </c:pt>
                <c:pt idx="30">
                  <c:v>0.33326121899420275</c:v>
                </c:pt>
                <c:pt idx="31">
                  <c:v>0.33326043377714226</c:v>
                </c:pt>
                <c:pt idx="32">
                  <c:v>0.33325963524820124</c:v>
                </c:pt>
                <c:pt idx="33">
                  <c:v>0.3332588230957736</c:v>
                </c:pt>
                <c:pt idx="34">
                  <c:v>0.33325799699883946</c:v>
                </c:pt>
                <c:pt idx="35">
                  <c:v>0.3332571566266129</c:v>
                </c:pt>
                <c:pt idx="36">
                  <c:v>0.33325630163817543</c:v>
                </c:pt>
                <c:pt idx="37">
                  <c:v>0.3332554316820923</c:v>
                </c:pt>
                <c:pt idx="38">
                  <c:v>0.33325454639601165</c:v>
                </c:pt>
                <c:pt idx="39">
                  <c:v>0.3332536454062452</c:v>
                </c:pt>
                <c:pt idx="40">
                  <c:v>0.3332527283273299</c:v>
                </c:pt>
                <c:pt idx="41">
                  <c:v>0.33325179476156885</c:v>
                </c:pt>
                <c:pt idx="42">
                  <c:v>0.33325084429855134</c:v>
                </c:pt>
                <c:pt idx="43">
                  <c:v>0.33324987651464977</c:v>
                </c:pt>
                <c:pt idx="44">
                  <c:v>0.33324889097249294</c:v>
                </c:pt>
                <c:pt idx="45">
                  <c:v>0.33324788722041454</c:v>
                </c:pt>
                <c:pt idx="46">
                  <c:v>0.33324686479187415</c:v>
                </c:pt>
                <c:pt idx="47">
                  <c:v>0.3332458232048514</c:v>
                </c:pt>
                <c:pt idx="48">
                  <c:v>0.333244761961209</c:v>
                </c:pt>
                <c:pt idx="49">
                  <c:v>0.33324368054602627</c:v>
                </c:pt>
                <c:pt idx="50">
                  <c:v>0.33324257842689753</c:v>
                </c:pt>
                <c:pt idx="51">
                  <c:v>0.33324145505319647</c:v>
                </c:pt>
                <c:pt idx="52">
                  <c:v>0.3332403098553036</c:v>
                </c:pt>
                <c:pt idx="53">
                  <c:v>0.3332391422437935</c:v>
                </c:pt>
                <c:pt idx="54">
                  <c:v>0.33323795160858083</c:v>
                </c:pt>
                <c:pt idx="55">
                  <c:v>0.3332367373180223</c:v>
                </c:pt>
                <c:pt idx="56">
                  <c:v>0.3332354987179708</c:v>
                </c:pt>
                <c:pt idx="57">
                  <c:v>0.3332342351307814</c:v>
                </c:pt>
                <c:pt idx="58">
                  <c:v>0.3332329458542624</c:v>
                </c:pt>
                <c:pt idx="59">
                  <c:v>0.3332316301605723</c:v>
                </c:pt>
                <c:pt idx="60">
                  <c:v>0.33323028729505527</c:v>
                </c:pt>
                <c:pt idx="61">
                  <c:v>0.3332289164750146</c:v>
                </c:pt>
                <c:pt idx="62">
                  <c:v>0.33322751688841745</c:v>
                </c:pt>
                <c:pt idx="63">
                  <c:v>0.3332260876925287</c:v>
                </c:pt>
                <c:pt idx="64">
                  <c:v>0.33322462801246744</c:v>
                </c:pt>
                <c:pt idx="65">
                  <c:v>0.33322313693968203</c:v>
                </c:pt>
                <c:pt idx="66">
                  <c:v>0.33322161353033874</c:v>
                </c:pt>
                <c:pt idx="67">
                  <c:v>0.3332200568036163</c:v>
                </c:pt>
                <c:pt idx="68">
                  <c:v>0.3332184657399026</c:v>
                </c:pt>
                <c:pt idx="69">
                  <c:v>0.3332168392788843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електро!$O$13</c:f>
              <c:strCache>
                <c:ptCount val="1"/>
                <c:pt idx="0">
                  <c:v>Rф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електро!$O$15:$O$84</c:f>
              <c:numCache>
                <c:ptCount val="70"/>
                <c:pt idx="0">
                  <c:v>547905.0623367329</c:v>
                </c:pt>
                <c:pt idx="1">
                  <c:v>539719.9923409089</c:v>
                </c:pt>
                <c:pt idx="2">
                  <c:v>531614.6491813215</c:v>
                </c:pt>
                <c:pt idx="3">
                  <c:v>523588.6578188414</c:v>
                </c:pt>
                <c:pt idx="4">
                  <c:v>515641.64321434055</c:v>
                </c:pt>
                <c:pt idx="5">
                  <c:v>507773.2303286897</c:v>
                </c:pt>
                <c:pt idx="6">
                  <c:v>499983.04412276</c:v>
                </c:pt>
                <c:pt idx="7">
                  <c:v>492270.70955742255</c:v>
                </c:pt>
                <c:pt idx="8">
                  <c:v>484635.85159354866</c:v>
                </c:pt>
                <c:pt idx="9">
                  <c:v>477078.09519200865</c:v>
                </c:pt>
                <c:pt idx="10">
                  <c:v>469597.0653136736</c:v>
                </c:pt>
                <c:pt idx="11">
                  <c:v>462192.38691941416</c:v>
                </c:pt>
                <c:pt idx="12">
                  <c:v>454863.6849701011</c:v>
                </c:pt>
                <c:pt idx="13">
                  <c:v>447610.5844266049</c:v>
                </c:pt>
                <c:pt idx="14">
                  <c:v>440432.71024979575</c:v>
                </c:pt>
                <c:pt idx="15">
                  <c:v>433329.68740054435</c:v>
                </c:pt>
                <c:pt idx="16">
                  <c:v>426301.1408397207</c:v>
                </c:pt>
                <c:pt idx="17">
                  <c:v>419346.69552819565</c:v>
                </c:pt>
                <c:pt idx="18">
                  <c:v>412465.9764268385</c:v>
                </c:pt>
                <c:pt idx="19">
                  <c:v>405658.60849651956</c:v>
                </c:pt>
                <c:pt idx="20">
                  <c:v>398924.2166981089</c:v>
                </c:pt>
                <c:pt idx="21">
                  <c:v>392262.4259924759</c:v>
                </c:pt>
                <c:pt idx="22">
                  <c:v>385672.86134049075</c:v>
                </c:pt>
                <c:pt idx="23">
                  <c:v>379155.14770302275</c:v>
                </c:pt>
                <c:pt idx="24">
                  <c:v>372708.91004094156</c:v>
                </c:pt>
                <c:pt idx="25">
                  <c:v>366333.7733151164</c:v>
                </c:pt>
                <c:pt idx="26">
                  <c:v>360029.36248641665</c:v>
                </c:pt>
                <c:pt idx="27">
                  <c:v>353795.3025157116</c:v>
                </c:pt>
                <c:pt idx="28">
                  <c:v>347631.21836386994</c:v>
                </c:pt>
                <c:pt idx="29">
                  <c:v>341536.73499176104</c:v>
                </c:pt>
                <c:pt idx="30">
                  <c:v>335511.47736025363</c:v>
                </c:pt>
                <c:pt idx="31">
                  <c:v>329555.0704302162</c:v>
                </c:pt>
                <c:pt idx="32">
                  <c:v>323667.1391625176</c:v>
                </c:pt>
                <c:pt idx="33">
                  <c:v>317847.308518026</c:v>
                </c:pt>
                <c:pt idx="34">
                  <c:v>312095.20345761016</c:v>
                </c:pt>
                <c:pt idx="35">
                  <c:v>306410.44894213794</c:v>
                </c:pt>
                <c:pt idx="36">
                  <c:v>300792.66993247764</c:v>
                </c:pt>
                <c:pt idx="37">
                  <c:v>295241.49138949695</c:v>
                </c:pt>
                <c:pt idx="38">
                  <c:v>289756.53827406396</c:v>
                </c:pt>
                <c:pt idx="39">
                  <c:v>284337.43554704625</c:v>
                </c:pt>
                <c:pt idx="40">
                  <c:v>278983.80816931144</c:v>
                </c:pt>
                <c:pt idx="41">
                  <c:v>273695.2811017268</c:v>
                </c:pt>
                <c:pt idx="42">
                  <c:v>268471.4793051596</c:v>
                </c:pt>
                <c:pt idx="43">
                  <c:v>263312.0277404769</c:v>
                </c:pt>
                <c:pt idx="44">
                  <c:v>258216.55136854583</c:v>
                </c:pt>
                <c:pt idx="45">
                  <c:v>253184.67515023297</c:v>
                </c:pt>
                <c:pt idx="46">
                  <c:v>248216.02404640507</c:v>
                </c:pt>
                <c:pt idx="47">
                  <c:v>243310.22301792869</c:v>
                </c:pt>
                <c:pt idx="48">
                  <c:v>238466.89702566984</c:v>
                </c:pt>
                <c:pt idx="49">
                  <c:v>233685.671030495</c:v>
                </c:pt>
                <c:pt idx="50">
                  <c:v>228966.16999326996</c:v>
                </c:pt>
                <c:pt idx="51">
                  <c:v>224308.01887486057</c:v>
                </c:pt>
                <c:pt idx="52">
                  <c:v>219710.8426361325</c:v>
                </c:pt>
                <c:pt idx="53">
                  <c:v>215174.26623795094</c:v>
                </c:pt>
                <c:pt idx="54">
                  <c:v>210697.91464118144</c:v>
                </c:pt>
                <c:pt idx="55">
                  <c:v>206281.41280668895</c:v>
                </c:pt>
                <c:pt idx="56">
                  <c:v>201924.38569533834</c:v>
                </c:pt>
                <c:pt idx="57">
                  <c:v>197626.45826799425</c:v>
                </c:pt>
                <c:pt idx="58">
                  <c:v>193387.25548552116</c:v>
                </c:pt>
                <c:pt idx="59">
                  <c:v>189206.40230878332</c:v>
                </c:pt>
                <c:pt idx="60">
                  <c:v>185083.5236986449</c:v>
                </c:pt>
                <c:pt idx="61">
                  <c:v>181018.24461596957</c:v>
                </c:pt>
                <c:pt idx="62">
                  <c:v>177010.19002162103</c:v>
                </c:pt>
                <c:pt idx="63">
                  <c:v>173058.9848764627</c:v>
                </c:pt>
                <c:pt idx="64">
                  <c:v>169164.25414135776</c:v>
                </c:pt>
                <c:pt idx="65">
                  <c:v>165325.62277716908</c:v>
                </c:pt>
                <c:pt idx="66">
                  <c:v>161542.71574475942</c:v>
                </c:pt>
                <c:pt idx="67">
                  <c:v>157815.15800499116</c:v>
                </c:pt>
                <c:pt idx="68">
                  <c:v>154142.57451872656</c:v>
                </c:pt>
                <c:pt idx="69">
                  <c:v>150524.59024682757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електро!$P$13</c:f>
              <c:strCache>
                <c:ptCount val="1"/>
                <c:pt idx="0">
                  <c:v>КИН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val>
            <c:numRef>
              <c:f>електро!$P$15:$P$84</c:f>
              <c:numCache>
                <c:ptCount val="70"/>
                <c:pt idx="0">
                  <c:v>3355446702.9612274</c:v>
                </c:pt>
                <c:pt idx="1">
                  <c:v>3305320197.442439</c:v>
                </c:pt>
                <c:pt idx="2">
                  <c:v>3255681950.1424127</c:v>
                </c:pt>
                <c:pt idx="3">
                  <c:v>3206529664.269431</c:v>
                </c:pt>
                <c:pt idx="4">
                  <c:v>3157861043.031781</c:v>
                </c:pt>
                <c:pt idx="5">
                  <c:v>3109673789.6377463</c:v>
                </c:pt>
                <c:pt idx="6">
                  <c:v>3061965607.29561</c:v>
                </c:pt>
                <c:pt idx="7">
                  <c:v>3014734199.2136545</c:v>
                </c:pt>
                <c:pt idx="8">
                  <c:v>2967977268.6001654</c:v>
                </c:pt>
                <c:pt idx="9">
                  <c:v>2921692518.6634216</c:v>
                </c:pt>
                <c:pt idx="10">
                  <c:v>2875877652.611707</c:v>
                </c:pt>
                <c:pt idx="11">
                  <c:v>2830530373.653302</c:v>
                </c:pt>
                <c:pt idx="12">
                  <c:v>2785648384.9964886</c:v>
                </c:pt>
                <c:pt idx="13">
                  <c:v>2741229389.849546</c:v>
                </c:pt>
                <c:pt idx="14">
                  <c:v>2697271091.4207525</c:v>
                </c:pt>
                <c:pt idx="15">
                  <c:v>2653771192.9183893</c:v>
                </c:pt>
                <c:pt idx="16">
                  <c:v>2610727397.5507336</c:v>
                </c:pt>
                <c:pt idx="17">
                  <c:v>2568137408.526066</c:v>
                </c:pt>
                <c:pt idx="18">
                  <c:v>2525998929.0526614</c:v>
                </c:pt>
                <c:pt idx="19">
                  <c:v>2484309662.3387966</c:v>
                </c:pt>
                <c:pt idx="20">
                  <c:v>2443067311.592749</c:v>
                </c:pt>
                <c:pt idx="21">
                  <c:v>2402269580.0227942</c:v>
                </c:pt>
                <c:pt idx="22">
                  <c:v>2361914170.837207</c:v>
                </c:pt>
                <c:pt idx="23">
                  <c:v>2321998787.244261</c:v>
                </c:pt>
                <c:pt idx="24">
                  <c:v>2282521132.452232</c:v>
                </c:pt>
                <c:pt idx="25">
                  <c:v>2243478909.6693916</c:v>
                </c:pt>
                <c:pt idx="26">
                  <c:v>2204869822.104012</c:v>
                </c:pt>
                <c:pt idx="27">
                  <c:v>2166691572.9643655</c:v>
                </c:pt>
                <c:pt idx="28">
                  <c:v>2128941865.4587233</c:v>
                </c:pt>
                <c:pt idx="29">
                  <c:v>2091618402.795356</c:v>
                </c:pt>
                <c:pt idx="30">
                  <c:v>2054718888.1825342</c:v>
                </c:pt>
                <c:pt idx="31">
                  <c:v>2018241024.8285244</c:v>
                </c:pt>
                <c:pt idx="32">
                  <c:v>1982182515.9415967</c:v>
                </c:pt>
                <c:pt idx="33">
                  <c:v>1946541064.7300174</c:v>
                </c:pt>
                <c:pt idx="34">
                  <c:v>1911314374.4020548</c:v>
                </c:pt>
                <c:pt idx="35">
                  <c:v>1876500148.1659737</c:v>
                </c:pt>
                <c:pt idx="36">
                  <c:v>1842096089.23004</c:v>
                </c:pt>
                <c:pt idx="37">
                  <c:v>1808099900.8025165</c:v>
                </c:pt>
                <c:pt idx="38">
                  <c:v>1774509286.0916684</c:v>
                </c:pt>
                <c:pt idx="39">
                  <c:v>1741321948.3057573</c:v>
                </c:pt>
                <c:pt idx="40">
                  <c:v>1708535590.6530457</c:v>
                </c:pt>
                <c:pt idx="41">
                  <c:v>1676147916.341794</c:v>
                </c:pt>
                <c:pt idx="42">
                  <c:v>1644156628.5802624</c:v>
                </c:pt>
                <c:pt idx="43">
                  <c:v>1612559430.57671</c:v>
                </c:pt>
                <c:pt idx="44">
                  <c:v>1581354025.5393946</c:v>
                </c:pt>
                <c:pt idx="45">
                  <c:v>1550538116.676574</c:v>
                </c:pt>
                <c:pt idx="46">
                  <c:v>1520109407.1965046</c:v>
                </c:pt>
                <c:pt idx="47">
                  <c:v>1490065600.307441</c:v>
                </c:pt>
                <c:pt idx="48">
                  <c:v>1460404399.2176373</c:v>
                </c:pt>
                <c:pt idx="49">
                  <c:v>1431123507.1353478</c:v>
                </c:pt>
                <c:pt idx="50">
                  <c:v>1402220627.268824</c:v>
                </c:pt>
                <c:pt idx="51">
                  <c:v>1373693462.8263173</c:v>
                </c:pt>
                <c:pt idx="52">
                  <c:v>1345539717.0160778</c:v>
                </c:pt>
                <c:pt idx="53">
                  <c:v>1317757093.046353</c:v>
                </c:pt>
                <c:pt idx="54">
                  <c:v>1290343294.1253927</c:v>
                </c:pt>
                <c:pt idx="55">
                  <c:v>1263296023.4614427</c:v>
                </c:pt>
                <c:pt idx="56">
                  <c:v>1236612984.2627482</c:v>
                </c:pt>
                <c:pt idx="57">
                  <c:v>1210291879.7375536</c:v>
                </c:pt>
                <c:pt idx="58">
                  <c:v>1184330413.0941021</c:v>
                </c:pt>
                <c:pt idx="59">
                  <c:v>1158726287.540635</c:v>
                </c:pt>
                <c:pt idx="60">
                  <c:v>1133477206.2853932</c:v>
                </c:pt>
                <c:pt idx="61">
                  <c:v>1108580872.5366158</c:v>
                </c:pt>
                <c:pt idx="62">
                  <c:v>1084034989.50254</c:v>
                </c:pt>
                <c:pt idx="63">
                  <c:v>1059837260.3914028</c:v>
                </c:pt>
                <c:pt idx="64">
                  <c:v>1035985388.4114395</c:v>
                </c:pt>
                <c:pt idx="65">
                  <c:v>1012477076.770883</c:v>
                </c:pt>
                <c:pt idx="66">
                  <c:v>989310028.6779656</c:v>
                </c:pt>
                <c:pt idx="67">
                  <c:v>966481947.3409184</c:v>
                </c:pt>
                <c:pt idx="68">
                  <c:v>943990535.9679699</c:v>
                </c:pt>
                <c:pt idx="69">
                  <c:v>921833497.767348</c:v>
                </c:pt>
              </c:numCache>
            </c:numRef>
          </c:val>
          <c:smooth val="0"/>
        </c:ser>
        <c:marker val="1"/>
        <c:axId val="4477321"/>
        <c:axId val="40295890"/>
      </c:lineChart>
      <c:catAx>
        <c:axId val="44773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95890"/>
        <c:crosses val="autoZero"/>
        <c:auto val="1"/>
        <c:lblOffset val="100"/>
        <c:tickLblSkip val="2"/>
        <c:tickMarkSkip val="10"/>
        <c:noMultiLvlLbl val="0"/>
      </c:catAx>
      <c:valAx>
        <c:axId val="402958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7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91925"/>
          <c:y val="0.07925"/>
          <c:w val="0.0775"/>
          <c:h val="0.8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832256400" y="83225640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38100</xdr:rowOff>
    </xdr:from>
    <xdr:to>
      <xdr:col>10</xdr:col>
      <xdr:colOff>228600</xdr:colOff>
      <xdr:row>25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781050" y="361950"/>
          <a:ext cx="6305550" cy="3752850"/>
          <a:chOff x="2304" y="4176"/>
          <a:chExt cx="7410" cy="3939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304" y="4176"/>
            <a:ext cx="7410" cy="3939"/>
            <a:chOff x="2304" y="4176"/>
            <a:chExt cx="7410" cy="3939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 flipH="1">
              <a:off x="9008" y="5548"/>
              <a:ext cx="0" cy="114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2304" y="4176"/>
              <a:ext cx="7410" cy="3939"/>
              <a:chOff x="2304" y="4176"/>
              <a:chExt cx="7410" cy="3939"/>
            </a:xfrm>
            <a:solidFill>
              <a:srgbClr val="FFFFFF"/>
            </a:solidFill>
          </xdr:grpSpPr>
          <xdr:sp>
            <xdr:nvSpPr>
              <xdr:cNvPr id="5" name="Text Box 5"/>
              <xdr:cNvSpPr txBox="1">
                <a:spLocks noChangeArrowheads="1"/>
              </xdr:cNvSpPr>
            </xdr:nvSpPr>
            <xdr:spPr>
              <a:xfrm>
                <a:off x="8213" y="5546"/>
                <a:ext cx="567" cy="120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 4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 3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 2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 1
</a:t>
                </a:r>
              </a:p>
            </xdr:txBody>
          </xdr:sp>
          <xdr:grpSp>
            <xdr:nvGrpSpPr>
              <xdr:cNvPr id="6" name="Group 6"/>
              <xdr:cNvGrpSpPr>
                <a:grpSpLocks/>
              </xdr:cNvGrpSpPr>
            </xdr:nvGrpSpPr>
            <xdr:grpSpPr>
              <a:xfrm>
                <a:off x="2304" y="4176"/>
                <a:ext cx="7410" cy="3939"/>
                <a:chOff x="2340" y="4177"/>
                <a:chExt cx="7410" cy="3939"/>
              </a:xfrm>
              <a:solidFill>
                <a:srgbClr val="FFFFFF"/>
              </a:solidFill>
            </xdr:grpSpPr>
            <xdr:grpSp>
              <xdr:nvGrpSpPr>
                <xdr:cNvPr id="7" name="Group 7"/>
                <xdr:cNvGrpSpPr>
                  <a:grpSpLocks/>
                </xdr:cNvGrpSpPr>
              </xdr:nvGrpSpPr>
              <xdr:grpSpPr>
                <a:xfrm>
                  <a:off x="2340" y="4177"/>
                  <a:ext cx="7410" cy="3939"/>
                  <a:chOff x="2340" y="4177"/>
                  <a:chExt cx="7410" cy="3939"/>
                </a:xfrm>
                <a:solidFill>
                  <a:srgbClr val="FFFFFF"/>
                </a:solidFill>
              </xdr:grpSpPr>
              <xdr:sp>
                <xdr:nvSpPr>
                  <xdr:cNvPr id="8" name="Line 8"/>
                  <xdr:cNvSpPr>
                    <a:spLocks/>
                  </xdr:cNvSpPr>
                </xdr:nvSpPr>
                <xdr:spPr>
                  <a:xfrm>
                    <a:off x="3937" y="5720"/>
                    <a:ext cx="0" cy="1995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9" name="Line 9"/>
                  <xdr:cNvSpPr>
                    <a:spLocks/>
                  </xdr:cNvSpPr>
                </xdr:nvSpPr>
                <xdr:spPr>
                  <a:xfrm flipH="1">
                    <a:off x="2510" y="6692"/>
                    <a:ext cx="3477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10" name="Line 10"/>
                  <xdr:cNvSpPr>
                    <a:spLocks/>
                  </xdr:cNvSpPr>
                </xdr:nvSpPr>
                <xdr:spPr>
                  <a:xfrm flipH="1">
                    <a:off x="2966" y="6463"/>
                    <a:ext cx="1767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11" name="Line 11"/>
                  <xdr:cNvSpPr>
                    <a:spLocks/>
                  </xdr:cNvSpPr>
                </xdr:nvSpPr>
                <xdr:spPr>
                  <a:xfrm flipH="1">
                    <a:off x="2510" y="5891"/>
                    <a:ext cx="1597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grpSp>
                <xdr:nvGrpSpPr>
                  <xdr:cNvPr id="12" name="Group 12"/>
                  <xdr:cNvGrpSpPr>
                    <a:grpSpLocks/>
                  </xdr:cNvGrpSpPr>
                </xdr:nvGrpSpPr>
                <xdr:grpSpPr>
                  <a:xfrm>
                    <a:off x="2340" y="4177"/>
                    <a:ext cx="7410" cy="3939"/>
                    <a:chOff x="2340" y="4177"/>
                    <a:chExt cx="7410" cy="3939"/>
                  </a:xfrm>
                  <a:solidFill>
                    <a:srgbClr val="FFFFFF"/>
                  </a:solidFill>
                </xdr:grpSpPr>
                <xdr:sp>
                  <xdr:nvSpPr>
                    <xdr:cNvPr id="13" name="Line 13"/>
                    <xdr:cNvSpPr>
                      <a:spLocks/>
                    </xdr:cNvSpPr>
                  </xdr:nvSpPr>
                  <xdr:spPr>
                    <a:xfrm>
                      <a:off x="3424" y="5320"/>
                      <a:ext cx="1938" cy="0"/>
                    </a:xfrm>
                    <a:prstGeom prst="line">
                      <a:avLst/>
                    </a:prstGeom>
                    <a:noFill/>
                    <a:ln w="190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14" name="Line 14"/>
                    <xdr:cNvSpPr>
                      <a:spLocks/>
                    </xdr:cNvSpPr>
                  </xdr:nvSpPr>
                  <xdr:spPr>
                    <a:xfrm>
                      <a:off x="6558" y="5320"/>
                      <a:ext cx="1880" cy="0"/>
                    </a:xfrm>
                    <a:prstGeom prst="line">
                      <a:avLst/>
                    </a:prstGeom>
                    <a:noFill/>
                    <a:ln w="190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15" name="Line 15"/>
                    <xdr:cNvSpPr>
                      <a:spLocks/>
                    </xdr:cNvSpPr>
                  </xdr:nvSpPr>
                  <xdr:spPr>
                    <a:xfrm>
                      <a:off x="5361" y="4920"/>
                      <a:ext cx="0" cy="627"/>
                    </a:xfrm>
                    <a:prstGeom prst="line">
                      <a:avLst/>
                    </a:prstGeom>
                    <a:noFill/>
                    <a:ln w="190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16" name="Line 16"/>
                    <xdr:cNvSpPr>
                      <a:spLocks/>
                    </xdr:cNvSpPr>
                  </xdr:nvSpPr>
                  <xdr:spPr>
                    <a:xfrm>
                      <a:off x="5361" y="5548"/>
                      <a:ext cx="1197" cy="0"/>
                    </a:xfrm>
                    <a:prstGeom prst="line">
                      <a:avLst/>
                    </a:prstGeom>
                    <a:noFill/>
                    <a:ln w="190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17" name="Line 17"/>
                    <xdr:cNvSpPr>
                      <a:spLocks/>
                    </xdr:cNvSpPr>
                  </xdr:nvSpPr>
                  <xdr:spPr>
                    <a:xfrm flipV="1">
                      <a:off x="6558" y="4920"/>
                      <a:ext cx="0" cy="627"/>
                    </a:xfrm>
                    <a:prstGeom prst="line">
                      <a:avLst/>
                    </a:prstGeom>
                    <a:noFill/>
                    <a:ln w="190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18" name="Line 18"/>
                    <xdr:cNvSpPr>
                      <a:spLocks/>
                    </xdr:cNvSpPr>
                  </xdr:nvSpPr>
                  <xdr:spPr>
                    <a:xfrm>
                      <a:off x="4791" y="6463"/>
                      <a:ext cx="2508" cy="0"/>
                    </a:xfrm>
                    <a:prstGeom prst="line">
                      <a:avLst/>
                    </a:prstGeom>
                    <a:noFill/>
                    <a:ln w="190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19" name="Line 19"/>
                    <xdr:cNvSpPr>
                      <a:spLocks/>
                    </xdr:cNvSpPr>
                  </xdr:nvSpPr>
                  <xdr:spPr>
                    <a:xfrm>
                      <a:off x="3652" y="5548"/>
                      <a:ext cx="4561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20" name="Line 20"/>
                    <xdr:cNvSpPr>
                      <a:spLocks/>
                    </xdr:cNvSpPr>
                  </xdr:nvSpPr>
                  <xdr:spPr>
                    <a:xfrm>
                      <a:off x="3879" y="5720"/>
                      <a:ext cx="4161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21" name="Line 21"/>
                    <xdr:cNvSpPr>
                      <a:spLocks/>
                    </xdr:cNvSpPr>
                  </xdr:nvSpPr>
                  <xdr:spPr>
                    <a:xfrm>
                      <a:off x="4107" y="5891"/>
                      <a:ext cx="3762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22" name="Line 22"/>
                    <xdr:cNvSpPr>
                      <a:spLocks/>
                    </xdr:cNvSpPr>
                  </xdr:nvSpPr>
                  <xdr:spPr>
                    <a:xfrm>
                      <a:off x="4733" y="6920"/>
                      <a:ext cx="250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arrow"/>
                      <a:tailEnd type="arrow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23" name="Line 23"/>
                    <xdr:cNvSpPr>
                      <a:spLocks/>
                    </xdr:cNvSpPr>
                  </xdr:nvSpPr>
                  <xdr:spPr>
                    <a:xfrm>
                      <a:off x="4107" y="5891"/>
                      <a:ext cx="0" cy="1482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24" name="Line 24"/>
                    <xdr:cNvSpPr>
                      <a:spLocks/>
                    </xdr:cNvSpPr>
                  </xdr:nvSpPr>
                  <xdr:spPr>
                    <a:xfrm>
                      <a:off x="7870" y="5891"/>
                      <a:ext cx="0" cy="1539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25" name="Line 25"/>
                    <xdr:cNvSpPr>
                      <a:spLocks/>
                    </xdr:cNvSpPr>
                  </xdr:nvSpPr>
                  <xdr:spPr>
                    <a:xfrm>
                      <a:off x="4107" y="7205"/>
                      <a:ext cx="3762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arrow"/>
                      <a:tailEnd type="arrow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26" name="Line 26"/>
                    <xdr:cNvSpPr>
                      <a:spLocks/>
                    </xdr:cNvSpPr>
                  </xdr:nvSpPr>
                  <xdr:spPr>
                    <a:xfrm>
                      <a:off x="8040" y="5720"/>
                      <a:ext cx="0" cy="2052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27" name="Line 27"/>
                    <xdr:cNvSpPr>
                      <a:spLocks/>
                    </xdr:cNvSpPr>
                  </xdr:nvSpPr>
                  <xdr:spPr>
                    <a:xfrm>
                      <a:off x="3937" y="7663"/>
                      <a:ext cx="4103" cy="0"/>
                    </a:xfrm>
                    <a:prstGeom prst="line">
                      <a:avLst/>
                    </a:prstGeom>
                    <a:noFill/>
                    <a:ln w="3175" cmpd="sng">
                      <a:solidFill>
                        <a:srgbClr val="000000"/>
                      </a:solidFill>
                      <a:headEnd type="arrow"/>
                      <a:tailEnd type="arrow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28" name="Line 28"/>
                    <xdr:cNvSpPr>
                      <a:spLocks/>
                    </xdr:cNvSpPr>
                  </xdr:nvSpPr>
                  <xdr:spPr>
                    <a:xfrm flipV="1">
                      <a:off x="3424" y="4291"/>
                      <a:ext cx="0" cy="1026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29" name="Line 29"/>
                    <xdr:cNvSpPr>
                      <a:spLocks/>
                    </xdr:cNvSpPr>
                  </xdr:nvSpPr>
                  <xdr:spPr>
                    <a:xfrm flipV="1">
                      <a:off x="8211" y="4634"/>
                      <a:ext cx="0" cy="912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30" name="Line 30"/>
                    <xdr:cNvSpPr>
                      <a:spLocks/>
                    </xdr:cNvSpPr>
                  </xdr:nvSpPr>
                  <xdr:spPr>
                    <a:xfrm flipV="1">
                      <a:off x="8438" y="4291"/>
                      <a:ext cx="0" cy="1026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31" name="Line 31"/>
                    <xdr:cNvSpPr>
                      <a:spLocks/>
                    </xdr:cNvSpPr>
                  </xdr:nvSpPr>
                  <xdr:spPr>
                    <a:xfrm>
                      <a:off x="3765" y="4749"/>
                      <a:ext cx="4446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arrow"/>
                      <a:tailEnd type="arrow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32" name="Line 32"/>
                    <xdr:cNvSpPr>
                      <a:spLocks/>
                    </xdr:cNvSpPr>
                  </xdr:nvSpPr>
                  <xdr:spPr>
                    <a:xfrm>
                      <a:off x="3424" y="4520"/>
                      <a:ext cx="5017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arrow"/>
                      <a:tailEnd type="arrow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33" name="Line 33"/>
                    <xdr:cNvSpPr>
                      <a:spLocks/>
                    </xdr:cNvSpPr>
                  </xdr:nvSpPr>
                  <xdr:spPr>
                    <a:xfrm>
                      <a:off x="8438" y="5320"/>
                      <a:ext cx="1197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34" name="Line 34"/>
                    <xdr:cNvSpPr>
                      <a:spLocks/>
                    </xdr:cNvSpPr>
                  </xdr:nvSpPr>
                  <xdr:spPr>
                    <a:xfrm>
                      <a:off x="6330" y="6692"/>
                      <a:ext cx="3307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35" name="Line 35"/>
                    <xdr:cNvSpPr>
                      <a:spLocks/>
                    </xdr:cNvSpPr>
                  </xdr:nvSpPr>
                  <xdr:spPr>
                    <a:xfrm>
                      <a:off x="9522" y="5320"/>
                      <a:ext cx="0" cy="136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arrow"/>
                      <a:tailEnd type="arrow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36" name="Text Box 36"/>
                    <xdr:cNvSpPr txBox="1">
                      <a:spLocks noChangeArrowheads="1"/>
                    </xdr:cNvSpPr>
                  </xdr:nvSpPr>
                  <xdr:spPr>
                    <a:xfrm>
                      <a:off x="8553" y="5607"/>
                      <a:ext cx="1197" cy="1250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 lIns="91440" tIns="45720" rIns="91440" bIns="45720" vert="vert270"/>
                    <a:p>
                      <a:pPr algn="l">
                        <a:defRPr/>
                      </a:pPr>
                      <a:r>
                        <a:rPr lang="en-US" cap="none" sz="1100" b="0" i="1" u="non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rPr>
                        <a:t>        hn
</a:t>
                      </a:r>
                      <a:r>
                        <a:rPr lang="en-US" cap="none" sz="1100" b="0" i="1" u="non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rPr>
                        <a:t>
</a:t>
                      </a:r>
                      <a:r>
                        <a:rPr lang="en-US" cap="none" sz="1100" b="0" i="1" u="non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rPr>
                        <a:t>              ho
</a:t>
                      </a:r>
                      <a:r>
                        <a:rPr lang="en-US" cap="none" sz="1100" b="0" i="1" u="non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rPr>
                        <a:t>                 
</a:t>
                      </a:r>
                    </a:p>
                  </xdr:txBody>
                </xdr:sp>
                <xdr:sp>
                  <xdr:nvSpPr>
                    <xdr:cNvPr id="37" name="Line 37"/>
                    <xdr:cNvSpPr>
                      <a:spLocks/>
                    </xdr:cNvSpPr>
                  </xdr:nvSpPr>
                  <xdr:spPr>
                    <a:xfrm>
                      <a:off x="8040" y="5434"/>
                      <a:ext cx="343" cy="456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8"/>
                    <xdr:cNvSpPr>
                      <a:spLocks/>
                    </xdr:cNvSpPr>
                  </xdr:nvSpPr>
                  <xdr:spPr>
                    <a:xfrm>
                      <a:off x="7584" y="5662"/>
                      <a:ext cx="798" cy="456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39" name="Line 39"/>
                    <xdr:cNvSpPr>
                      <a:spLocks/>
                    </xdr:cNvSpPr>
                  </xdr:nvSpPr>
                  <xdr:spPr>
                    <a:xfrm>
                      <a:off x="7242" y="5720"/>
                      <a:ext cx="1139" cy="684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0" name="Line 40"/>
                    <xdr:cNvSpPr>
                      <a:spLocks/>
                    </xdr:cNvSpPr>
                  </xdr:nvSpPr>
                  <xdr:spPr>
                    <a:xfrm>
                      <a:off x="7412" y="5891"/>
                      <a:ext cx="969" cy="74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1" name="Text Box 41"/>
                    <xdr:cNvSpPr txBox="1">
                      <a:spLocks noChangeArrowheads="1"/>
                    </xdr:cNvSpPr>
                  </xdr:nvSpPr>
                  <xdr:spPr>
                    <a:xfrm>
                      <a:off x="7357" y="6117"/>
                      <a:ext cx="630" cy="350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sz="1000" b="0" i="1" u="none" baseline="0">
                          <a:solidFill>
                            <a:srgbClr val="000000"/>
                          </a:solidFill>
                        </a:rPr>
                        <a:t>45o
</a:t>
                      </a:r>
                    </a:p>
                  </xdr:txBody>
                </xdr:sp>
                <xdr:sp>
                  <xdr:nvSpPr>
                    <xdr:cNvPr id="42" name="Text Box 42"/>
                    <xdr:cNvSpPr txBox="1">
                      <a:spLocks noChangeArrowheads="1"/>
                    </xdr:cNvSpPr>
                  </xdr:nvSpPr>
                  <xdr:spPr>
                    <a:xfrm>
                      <a:off x="5363" y="6346"/>
                      <a:ext cx="1134" cy="1770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sz="1100" b="0" i="1" u="non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rPr>
                        <a:t>
</a:t>
                      </a:r>
                      <a:r>
                        <a:rPr lang="en-US" cap="none" sz="1100" b="0" i="1" u="non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rPr>
                        <a:t>dc
</a:t>
                      </a:r>
                      <a:r>
                        <a:rPr lang="en-US" cap="none" sz="1100" b="0" i="1" u="non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rPr>
                        <a:t>dm
</a:t>
                      </a:r>
                      <a:r>
                        <a:rPr lang="en-US" cap="none" sz="800" b="0" i="1" u="non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rPr>
                        <a:t>
</a:t>
                      </a:r>
                      <a:r>
                        <a:rPr lang="en-US" cap="none" sz="1100" b="0" i="1" u="non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rPr>
                        <a:t>d</a:t>
                      </a:r>
                      <a:r>
                        <a:rPr lang="en-US" cap="none" sz="1100" b="0" i="1" u="none" baseline="0">
                          <a:solidFill>
                            <a:srgbClr val="000000"/>
                          </a:solidFill>
                          <a:latin typeface="Times New Roman Cyr"/>
                          <a:ea typeface="Times New Roman Cyr"/>
                          <a:cs typeface="Times New Roman Cyr"/>
                        </a:rPr>
                        <a:t>ш
</a:t>
                      </a:r>
                      <a:r>
                        <a:rPr lang="en-US" cap="none" sz="1100" b="0" i="1" u="non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rPr>
                        <a:t>
</a:t>
                      </a:r>
                      <a:r>
                        <a:rPr lang="en-US" cap="none" sz="1100" b="0" i="1" u="non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rPr>
                        <a:t>
</a:t>
                      </a:r>
                    </a:p>
                  </xdr:txBody>
                </xdr:sp>
                <xdr:sp>
                  <xdr:nvSpPr>
                    <xdr:cNvPr id="43" name="Text Box 43"/>
                    <xdr:cNvSpPr txBox="1">
                      <a:spLocks noChangeArrowheads="1"/>
                    </xdr:cNvSpPr>
                  </xdr:nvSpPr>
                  <xdr:spPr>
                    <a:xfrm>
                      <a:off x="5024" y="4177"/>
                      <a:ext cx="1815" cy="740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sz="1100" b="0" i="1" u="non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rPr>
                        <a:t>do
</a:t>
                      </a:r>
                      <a:r>
                        <a:rPr lang="en-US" cap="none" sz="1100" b="0" i="1" u="non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rPr>
                        <a:t>d</a:t>
                      </a:r>
                      <a:r>
                        <a:rPr lang="en-US" cap="none" sz="1100" b="0" i="1" u="none" baseline="0">
                          <a:solidFill>
                            <a:srgbClr val="000000"/>
                          </a:solidFill>
                          <a:latin typeface="Times New Roman Cyr"/>
                          <a:ea typeface="Times New Roman Cyr"/>
                          <a:cs typeface="Times New Roman Cyr"/>
                        </a:rPr>
                        <a:t>п
</a:t>
                      </a:r>
                    </a:p>
                  </xdr:txBody>
                </xdr:sp>
                <xdr:sp>
                  <xdr:nvSpPr>
                    <xdr:cNvPr id="44" name="Text Box 44"/>
                    <xdr:cNvSpPr txBox="1">
                      <a:spLocks noChangeArrowheads="1"/>
                    </xdr:cNvSpPr>
                  </xdr:nvSpPr>
                  <xdr:spPr>
                    <a:xfrm>
                      <a:off x="2340" y="5037"/>
                      <a:ext cx="1488" cy="2559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 lIns="91440" tIns="45720" rIns="91440" bIns="45720" vert="vert270"/>
                    <a:p>
                      <a:pPr algn="l">
                        <a:defRPr/>
                      </a:pPr>
                      <a:r>
                        <a:rPr lang="en-US" cap="none" sz="1100" b="0" i="1" u="non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rPr>
                        <a:t>                   hm
</a:t>
                      </a:r>
                      <a:r>
                        <a:rPr lang="en-US" cap="none" sz="1100" b="0" i="1" u="non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rPr>
                        <a:t>
</a:t>
                      </a:r>
                      <a:r>
                        <a:rPr lang="en-US" cap="none" sz="1100" b="0" i="1" u="non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rPr>
                        <a:t>        hc                   h</a:t>
                      </a:r>
                      <a:r>
                        <a:rPr lang="en-US" cap="none" sz="1100" b="0" i="1" u="none" baseline="0">
                          <a:solidFill>
                            <a:srgbClr val="000000"/>
                          </a:solidFill>
                          <a:latin typeface="Times New Roman Cyr"/>
                          <a:ea typeface="Times New Roman Cyr"/>
                          <a:cs typeface="Times New Roman Cyr"/>
                        </a:rPr>
                        <a:t>к</a:t>
                      </a:r>
                      <a:r>
                        <a:rPr lang="en-US" cap="none" sz="1100" b="0" i="1" u="non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rPr>
                        <a:t>           </a:t>
                      </a:r>
                      <a:r>
                        <a:rPr lang="en-US" cap="none" sz="1100" b="0" i="1" u="non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rPr>
                        <a:t>h</a:t>
                      </a:r>
                      <a:r>
                        <a:rPr lang="en-US" cap="none" sz="1100" b="0" i="1" u="none" baseline="0">
                          <a:solidFill>
                            <a:srgbClr val="000000"/>
                          </a:solidFill>
                          <a:latin typeface="Times New Roman Cyr"/>
                          <a:ea typeface="Times New Roman Cyr"/>
                          <a:cs typeface="Times New Roman Cyr"/>
                        </a:rPr>
                        <a:t>ш
</a:t>
                      </a:r>
                    </a:p>
                  </xdr:txBody>
                </xdr:sp>
              </xdr:grpSp>
            </xdr:grpSp>
            <xdr:sp>
              <xdr:nvSpPr>
                <xdr:cNvPr id="48" name="Line 48"/>
                <xdr:cNvSpPr>
                  <a:spLocks/>
                </xdr:cNvSpPr>
              </xdr:nvSpPr>
              <xdr:spPr>
                <a:xfrm>
                  <a:off x="2738" y="5891"/>
                  <a:ext cx="0" cy="79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arrow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9" name="Line 49"/>
                <xdr:cNvSpPr>
                  <a:spLocks/>
                </xdr:cNvSpPr>
              </xdr:nvSpPr>
              <xdr:spPr>
                <a:xfrm>
                  <a:off x="3309" y="5891"/>
                  <a:ext cx="0" cy="57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arrow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50" name="Line 50"/>
                <xdr:cNvSpPr>
                  <a:spLocks/>
                </xdr:cNvSpPr>
              </xdr:nvSpPr>
              <xdr:spPr>
                <a:xfrm>
                  <a:off x="3309" y="6692"/>
                  <a:ext cx="0" cy="39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arrow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51" name="Line 51"/>
                <xdr:cNvSpPr>
                  <a:spLocks/>
                </xdr:cNvSpPr>
              </xdr:nvSpPr>
              <xdr:spPr>
                <a:xfrm>
                  <a:off x="8383" y="5891"/>
                  <a:ext cx="170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52" name="Line 52"/>
                <xdr:cNvSpPr>
                  <a:spLocks/>
                </xdr:cNvSpPr>
              </xdr:nvSpPr>
              <xdr:spPr>
                <a:xfrm>
                  <a:off x="8383" y="6120"/>
                  <a:ext cx="170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53" name="Line 53"/>
                <xdr:cNvSpPr>
                  <a:spLocks/>
                </xdr:cNvSpPr>
              </xdr:nvSpPr>
              <xdr:spPr>
                <a:xfrm>
                  <a:off x="8383" y="6406"/>
                  <a:ext cx="22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54" name="Line 54"/>
                <xdr:cNvSpPr>
                  <a:spLocks/>
                </xdr:cNvSpPr>
              </xdr:nvSpPr>
              <xdr:spPr>
                <a:xfrm flipV="1">
                  <a:off x="8383" y="6634"/>
                  <a:ext cx="22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55" name="Line 55"/>
                <xdr:cNvSpPr>
                  <a:spLocks/>
                </xdr:cNvSpPr>
              </xdr:nvSpPr>
              <xdr:spPr>
                <a:xfrm>
                  <a:off x="3309" y="6460"/>
                  <a:ext cx="0" cy="28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56" name="Line 56"/>
          <xdr:cNvSpPr>
            <a:spLocks/>
          </xdr:cNvSpPr>
        </xdr:nvSpPr>
        <xdr:spPr>
          <a:xfrm>
            <a:off x="3423" y="5320"/>
            <a:ext cx="1367" cy="114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 flipH="1">
            <a:off x="7298" y="5320"/>
            <a:ext cx="1139" cy="114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 flipH="1">
            <a:off x="2569" y="5548"/>
            <a:ext cx="1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 flipV="1">
            <a:off x="3310" y="4977"/>
            <a:ext cx="0" cy="5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3310" y="5548"/>
            <a:ext cx="0" cy="3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24525"/>
    <xdr:graphicFrame>
      <xdr:nvGraphicFramePr>
        <xdr:cNvPr id="1" name="Shape 1025"/>
        <xdr:cNvGraphicFramePr/>
      </xdr:nvGraphicFramePr>
      <xdr:xfrm>
        <a:off x="832256400" y="832256400"/>
        <a:ext cx="93249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zoomScale="85" zoomScaleNormal="85" zoomScalePageLayoutView="0" workbookViewId="0" topLeftCell="A88">
      <selection activeCell="G109" sqref="G109"/>
    </sheetView>
  </sheetViews>
  <sheetFormatPr defaultColWidth="9.00390625" defaultRowHeight="12.75"/>
  <cols>
    <col min="1" max="1" width="35.00390625" style="0" customWidth="1"/>
    <col min="2" max="2" width="11.75390625" style="0" customWidth="1"/>
    <col min="3" max="3" width="22.375" style="0" customWidth="1"/>
    <col min="4" max="4" width="16.375" style="0" customWidth="1"/>
    <col min="5" max="5" width="8.75390625" style="0" customWidth="1"/>
    <col min="6" max="6" width="14.125" style="0" customWidth="1"/>
    <col min="7" max="16" width="6.75390625" style="0" customWidth="1"/>
  </cols>
  <sheetData>
    <row r="1" spans="1:6" ht="14.25" customHeight="1">
      <c r="A1" s="158" t="s">
        <v>121</v>
      </c>
      <c r="B1" s="158"/>
      <c r="C1" s="158"/>
      <c r="D1" s="158"/>
      <c r="E1" s="16"/>
      <c r="F1" s="16"/>
    </row>
    <row r="2" spans="1:6" ht="14.25" customHeight="1">
      <c r="A2" s="158" t="s">
        <v>122</v>
      </c>
      <c r="B2" s="158"/>
      <c r="C2" s="158"/>
      <c r="D2" s="158"/>
      <c r="E2" s="16"/>
      <c r="F2" s="16"/>
    </row>
    <row r="3" spans="1:6" ht="14.25" customHeight="1">
      <c r="A3" s="158" t="s">
        <v>123</v>
      </c>
      <c r="B3" s="158"/>
      <c r="C3" s="158"/>
      <c r="D3" s="158"/>
      <c r="E3" s="16"/>
      <c r="F3" s="16"/>
    </row>
    <row r="4" spans="1:6" ht="14.25" customHeight="1">
      <c r="A4" s="158" t="s">
        <v>124</v>
      </c>
      <c r="B4" s="158"/>
      <c r="C4" s="158"/>
      <c r="D4" s="158"/>
      <c r="E4" s="16"/>
      <c r="F4" s="16"/>
    </row>
    <row r="5" spans="1:6" ht="14.25" customHeight="1">
      <c r="A5" s="158" t="s">
        <v>125</v>
      </c>
      <c r="B5" s="158"/>
      <c r="C5" s="158"/>
      <c r="D5" s="158"/>
      <c r="E5" s="16"/>
      <c r="F5" s="16"/>
    </row>
    <row r="6" spans="1:6" ht="14.25">
      <c r="A6" s="158" t="s">
        <v>151</v>
      </c>
      <c r="B6" s="158"/>
      <c r="C6" s="158"/>
      <c r="D6" s="158"/>
      <c r="E6" s="16"/>
      <c r="F6" s="16"/>
    </row>
    <row r="7" spans="1:6" ht="14.25">
      <c r="A7" s="158" t="s">
        <v>150</v>
      </c>
      <c r="B7" s="158"/>
      <c r="C7" s="158"/>
      <c r="D7" s="158"/>
      <c r="E7" s="16"/>
      <c r="F7" s="16"/>
    </row>
    <row r="8" spans="1:6" ht="14.25" customHeight="1">
      <c r="A8" s="158" t="s">
        <v>126</v>
      </c>
      <c r="B8" s="158"/>
      <c r="C8" s="158"/>
      <c r="D8" s="158"/>
      <c r="E8" s="16"/>
      <c r="F8" s="16"/>
    </row>
    <row r="9" spans="1:6" ht="14.25" customHeight="1">
      <c r="A9" s="158" t="s">
        <v>149</v>
      </c>
      <c r="B9" s="158"/>
      <c r="C9" s="158"/>
      <c r="D9" s="158"/>
      <c r="E9" s="16"/>
      <c r="F9" s="16"/>
    </row>
    <row r="10" spans="1:6" ht="14.25" customHeight="1">
      <c r="A10" s="158" t="s">
        <v>127</v>
      </c>
      <c r="B10" s="158"/>
      <c r="C10" s="158"/>
      <c r="D10" s="158"/>
      <c r="E10" s="16"/>
      <c r="F10" s="16"/>
    </row>
    <row r="11" spans="1:6" ht="14.25" customHeight="1">
      <c r="A11" s="158" t="s">
        <v>152</v>
      </c>
      <c r="B11" s="158"/>
      <c r="C11" s="158"/>
      <c r="D11" s="158"/>
      <c r="E11" s="16"/>
      <c r="F11" s="16"/>
    </row>
    <row r="12" spans="1:6" ht="14.25" customHeight="1">
      <c r="A12" s="158" t="s">
        <v>128</v>
      </c>
      <c r="B12" s="158"/>
      <c r="C12" s="158"/>
      <c r="D12" s="158"/>
      <c r="E12" s="16"/>
      <c r="F12" s="16"/>
    </row>
    <row r="13" spans="1:6" ht="14.25" customHeight="1">
      <c r="A13" s="158" t="s">
        <v>153</v>
      </c>
      <c r="B13" s="158"/>
      <c r="C13" s="158"/>
      <c r="D13" s="158"/>
      <c r="E13" s="16"/>
      <c r="F13" s="16"/>
    </row>
    <row r="14" spans="1:6" ht="14.25" customHeight="1">
      <c r="A14" s="158" t="s">
        <v>154</v>
      </c>
      <c r="B14" s="158"/>
      <c r="C14" s="158"/>
      <c r="D14" s="158"/>
      <c r="E14" s="16"/>
      <c r="F14" s="16"/>
    </row>
    <row r="15" spans="1:6" ht="14.25" customHeight="1">
      <c r="A15" s="158" t="s">
        <v>140</v>
      </c>
      <c r="B15" s="158"/>
      <c r="C15" s="158"/>
      <c r="D15" s="158"/>
      <c r="E15" s="16"/>
      <c r="F15" s="16"/>
    </row>
    <row r="16" spans="1:6" ht="16.5" customHeight="1">
      <c r="A16" s="158" t="s">
        <v>129</v>
      </c>
      <c r="B16" s="158"/>
      <c r="C16" s="158"/>
      <c r="D16" s="158"/>
      <c r="E16" s="16"/>
      <c r="F16" s="16"/>
    </row>
    <row r="17" spans="1:6" ht="14.25" customHeight="1">
      <c r="A17" s="158" t="s">
        <v>141</v>
      </c>
      <c r="B17" s="158"/>
      <c r="C17" s="158"/>
      <c r="D17" s="158"/>
      <c r="E17" s="16"/>
      <c r="F17" s="16"/>
    </row>
    <row r="18" spans="1:6" ht="14.25" customHeight="1">
      <c r="A18" s="158" t="s">
        <v>142</v>
      </c>
      <c r="B18" s="158"/>
      <c r="C18" s="158"/>
      <c r="D18" s="158"/>
      <c r="E18" s="16"/>
      <c r="F18" s="16"/>
    </row>
    <row r="19" spans="1:6" ht="14.25" customHeight="1">
      <c r="A19" s="158" t="s">
        <v>143</v>
      </c>
      <c r="B19" s="158"/>
      <c r="C19" s="158"/>
      <c r="D19" s="158"/>
      <c r="E19" s="16"/>
      <c r="F19" s="16"/>
    </row>
    <row r="20" spans="1:6" ht="27.75" customHeight="1">
      <c r="A20" s="159" t="s">
        <v>148</v>
      </c>
      <c r="B20" s="159"/>
      <c r="C20" s="159"/>
      <c r="D20" s="159"/>
      <c r="E20" s="17"/>
      <c r="F20" s="17"/>
    </row>
    <row r="21" spans="1:6" ht="14.25" customHeight="1">
      <c r="A21" s="158" t="s">
        <v>144</v>
      </c>
      <c r="B21" s="158"/>
      <c r="C21" s="158"/>
      <c r="D21" s="158"/>
      <c r="E21" s="16"/>
      <c r="F21" s="16"/>
    </row>
    <row r="22" spans="1:6" ht="14.25" customHeight="1">
      <c r="A22" s="158" t="s">
        <v>145</v>
      </c>
      <c r="B22" s="158"/>
      <c r="C22" s="158"/>
      <c r="D22" s="158"/>
      <c r="E22" s="16"/>
      <c r="F22" s="16"/>
    </row>
    <row r="23" spans="1:6" ht="14.25" customHeight="1">
      <c r="A23" s="158" t="s">
        <v>146</v>
      </c>
      <c r="B23" s="158"/>
      <c r="C23" s="158"/>
      <c r="D23" s="158"/>
      <c r="E23" s="16"/>
      <c r="F23" s="16"/>
    </row>
    <row r="24" spans="1:6" ht="14.25" customHeight="1">
      <c r="A24" s="147" t="s">
        <v>147</v>
      </c>
      <c r="B24" s="147"/>
      <c r="C24" s="147"/>
      <c r="D24" s="147"/>
      <c r="E24" s="16"/>
      <c r="F24" s="16"/>
    </row>
    <row r="25" spans="1:6" ht="18">
      <c r="A25" s="12" t="s">
        <v>49</v>
      </c>
      <c r="B25" s="72" t="s">
        <v>138</v>
      </c>
      <c r="C25" s="68">
        <v>0.3</v>
      </c>
      <c r="D25" s="72" t="s">
        <v>139</v>
      </c>
      <c r="E25" s="68">
        <v>1.1</v>
      </c>
      <c r="F25" s="18"/>
    </row>
    <row r="26" spans="1:5" ht="18">
      <c r="A26" s="133" t="s">
        <v>82</v>
      </c>
      <c r="B26" s="133"/>
      <c r="C26" s="133"/>
      <c r="D26" s="133"/>
      <c r="E26" s="133"/>
    </row>
    <row r="27" spans="1:5" ht="45.75" customHeight="1">
      <c r="A27" s="7" t="s">
        <v>78</v>
      </c>
      <c r="B27" s="8" t="s">
        <v>79</v>
      </c>
      <c r="C27" s="7" t="s">
        <v>80</v>
      </c>
      <c r="D27" s="7" t="s">
        <v>81</v>
      </c>
      <c r="E27" s="14" t="s">
        <v>49</v>
      </c>
    </row>
    <row r="28" spans="1:6" ht="18">
      <c r="A28" s="25" t="s">
        <v>244</v>
      </c>
      <c r="B28" s="26" t="s">
        <v>245</v>
      </c>
      <c r="C28" s="26" t="s">
        <v>83</v>
      </c>
      <c r="D28" s="27" t="s">
        <v>42</v>
      </c>
      <c r="E28" s="70">
        <v>50</v>
      </c>
      <c r="F28" s="1"/>
    </row>
    <row r="29" spans="1:6" ht="18">
      <c r="A29" s="130" t="s">
        <v>0</v>
      </c>
      <c r="B29" s="129" t="s">
        <v>3</v>
      </c>
      <c r="C29" s="28" t="s">
        <v>43</v>
      </c>
      <c r="D29" s="29" t="s">
        <v>46</v>
      </c>
      <c r="E29" s="128">
        <v>5</v>
      </c>
      <c r="F29" s="1"/>
    </row>
    <row r="30" spans="1:6" ht="18">
      <c r="A30" s="130"/>
      <c r="B30" s="129"/>
      <c r="C30" s="28" t="s">
        <v>44</v>
      </c>
      <c r="D30" s="30" t="s">
        <v>47</v>
      </c>
      <c r="E30" s="128"/>
      <c r="F30" s="1"/>
    </row>
    <row r="31" spans="1:7" ht="18">
      <c r="A31" s="130"/>
      <c r="B31" s="129"/>
      <c r="C31" s="28" t="s">
        <v>45</v>
      </c>
      <c r="D31" s="30" t="s">
        <v>48</v>
      </c>
      <c r="E31" s="128"/>
      <c r="F31" s="1"/>
      <c r="G31" s="39"/>
    </row>
    <row r="32" spans="1:6" ht="18">
      <c r="A32" s="134" t="s">
        <v>50</v>
      </c>
      <c r="B32" s="131" t="s">
        <v>193</v>
      </c>
      <c r="C32" s="28" t="s">
        <v>52</v>
      </c>
      <c r="D32" s="30" t="s">
        <v>53</v>
      </c>
      <c r="E32" s="128">
        <v>80</v>
      </c>
      <c r="F32" s="1"/>
    </row>
    <row r="33" spans="1:6" ht="18">
      <c r="A33" s="135"/>
      <c r="B33" s="129"/>
      <c r="C33" s="28" t="s">
        <v>51</v>
      </c>
      <c r="D33" s="30" t="s">
        <v>54</v>
      </c>
      <c r="E33" s="128"/>
      <c r="F33" s="1"/>
    </row>
    <row r="34" spans="1:6" ht="18">
      <c r="A34" s="136"/>
      <c r="B34" s="129"/>
      <c r="C34" s="28" t="s">
        <v>44</v>
      </c>
      <c r="D34" s="30" t="s">
        <v>55</v>
      </c>
      <c r="E34" s="128"/>
      <c r="F34" s="1"/>
    </row>
    <row r="35" spans="1:6" ht="18">
      <c r="A35" s="130" t="s">
        <v>0</v>
      </c>
      <c r="B35" s="129" t="s">
        <v>28</v>
      </c>
      <c r="C35" s="28" t="s">
        <v>52</v>
      </c>
      <c r="D35" s="30" t="s">
        <v>56</v>
      </c>
      <c r="E35" s="128">
        <v>0.35</v>
      </c>
      <c r="F35" s="1"/>
    </row>
    <row r="36" spans="1:6" ht="18">
      <c r="A36" s="130"/>
      <c r="B36" s="129"/>
      <c r="C36" s="28" t="s">
        <v>51</v>
      </c>
      <c r="D36" s="30" t="s">
        <v>56</v>
      </c>
      <c r="E36" s="128"/>
      <c r="F36" s="1"/>
    </row>
    <row r="37" spans="1:6" ht="18">
      <c r="A37" s="130"/>
      <c r="B37" s="129"/>
      <c r="C37" s="28" t="s">
        <v>44</v>
      </c>
      <c r="D37" s="30" t="s">
        <v>57</v>
      </c>
      <c r="E37" s="128"/>
      <c r="F37" s="1"/>
    </row>
    <row r="38" spans="1:11" ht="18.75">
      <c r="A38" s="130" t="s">
        <v>58</v>
      </c>
      <c r="B38" s="129" t="s">
        <v>31</v>
      </c>
      <c r="C38" s="28" t="s">
        <v>59</v>
      </c>
      <c r="D38" s="30">
        <v>23</v>
      </c>
      <c r="E38" s="128">
        <v>25</v>
      </c>
      <c r="F38" s="1"/>
      <c r="G38" s="40"/>
      <c r="H38" s="41"/>
      <c r="I38" s="41"/>
      <c r="J38" s="41"/>
      <c r="K38" s="41"/>
    </row>
    <row r="39" spans="1:11" ht="18.75">
      <c r="A39" s="130"/>
      <c r="B39" s="129"/>
      <c r="C39" s="28" t="s">
        <v>60</v>
      </c>
      <c r="D39" s="30">
        <v>25</v>
      </c>
      <c r="E39" s="128"/>
      <c r="F39" s="1"/>
      <c r="G39" s="40"/>
      <c r="H39" s="41"/>
      <c r="I39" s="55"/>
      <c r="J39" s="56"/>
      <c r="K39" s="56"/>
    </row>
    <row r="40" spans="1:11" ht="18.75">
      <c r="A40" s="130"/>
      <c r="B40" s="129"/>
      <c r="C40" s="28" t="s">
        <v>61</v>
      </c>
      <c r="D40" s="30" t="s">
        <v>63</v>
      </c>
      <c r="E40" s="128"/>
      <c r="F40" s="1"/>
      <c r="G40" s="57"/>
      <c r="H40" s="41"/>
      <c r="I40" s="41"/>
      <c r="J40" s="41"/>
      <c r="K40" s="41"/>
    </row>
    <row r="41" spans="1:11" ht="18.75">
      <c r="A41" s="130"/>
      <c r="B41" s="129"/>
      <c r="C41" s="28" t="s">
        <v>62</v>
      </c>
      <c r="D41" s="30" t="s">
        <v>64</v>
      </c>
      <c r="E41" s="128"/>
      <c r="F41" s="1"/>
      <c r="G41" s="40"/>
      <c r="H41" s="41"/>
      <c r="I41" s="41"/>
      <c r="J41" s="41"/>
      <c r="K41" s="41"/>
    </row>
    <row r="42" spans="1:6" ht="20.25" customHeight="1">
      <c r="A42" s="139" t="s">
        <v>65</v>
      </c>
      <c r="B42" s="129" t="s">
        <v>33</v>
      </c>
      <c r="C42" s="28" t="s">
        <v>43</v>
      </c>
      <c r="D42" s="30" t="s">
        <v>66</v>
      </c>
      <c r="E42" s="128">
        <v>0.45</v>
      </c>
      <c r="F42" s="1"/>
    </row>
    <row r="43" spans="1:6" ht="18.75" customHeight="1">
      <c r="A43" s="139"/>
      <c r="B43" s="129"/>
      <c r="C43" s="28" t="s">
        <v>44</v>
      </c>
      <c r="D43" s="30" t="s">
        <v>67</v>
      </c>
      <c r="E43" s="128"/>
      <c r="F43" s="1"/>
    </row>
    <row r="44" spans="1:6" ht="20.25" customHeight="1">
      <c r="A44" s="139"/>
      <c r="B44" s="129"/>
      <c r="C44" s="28" t="s">
        <v>45</v>
      </c>
      <c r="D44" s="30" t="s">
        <v>68</v>
      </c>
      <c r="E44" s="128"/>
      <c r="F44" s="1"/>
    </row>
    <row r="45" spans="1:6" ht="36" customHeight="1">
      <c r="A45" s="31" t="s">
        <v>70</v>
      </c>
      <c r="B45" s="27" t="s">
        <v>71</v>
      </c>
      <c r="C45" s="32"/>
      <c r="D45" s="30" t="s">
        <v>72</v>
      </c>
      <c r="E45" s="70">
        <v>1.5</v>
      </c>
      <c r="F45" s="1"/>
    </row>
    <row r="46" spans="1:6" ht="25.5" customHeight="1">
      <c r="A46" s="139" t="s">
        <v>73</v>
      </c>
      <c r="B46" s="140" t="s">
        <v>77</v>
      </c>
      <c r="C46" s="140"/>
      <c r="D46" s="30" t="s">
        <v>75</v>
      </c>
      <c r="E46" s="128">
        <v>0.143</v>
      </c>
      <c r="F46" s="1"/>
    </row>
    <row r="47" spans="1:6" ht="23.25" customHeight="1">
      <c r="A47" s="139"/>
      <c r="B47" s="153" t="s">
        <v>74</v>
      </c>
      <c r="C47" s="153"/>
      <c r="D47" s="30" t="s">
        <v>76</v>
      </c>
      <c r="E47" s="128"/>
      <c r="F47" s="1"/>
    </row>
    <row r="48" spans="1:6" ht="18" customHeight="1">
      <c r="A48" s="148" t="s">
        <v>156</v>
      </c>
      <c r="B48" s="149" t="s">
        <v>155</v>
      </c>
      <c r="C48" s="33">
        <v>300</v>
      </c>
      <c r="D48" s="30">
        <v>1.04</v>
      </c>
      <c r="E48" s="150">
        <v>1.25</v>
      </c>
      <c r="F48" s="1"/>
    </row>
    <row r="49" spans="1:6" ht="18.75" customHeight="1">
      <c r="A49" s="148"/>
      <c r="B49" s="149"/>
      <c r="C49" s="33">
        <v>500</v>
      </c>
      <c r="D49" s="30">
        <v>1.1</v>
      </c>
      <c r="E49" s="151"/>
      <c r="F49" s="1"/>
    </row>
    <row r="50" spans="1:6" ht="21.75" customHeight="1">
      <c r="A50" s="148"/>
      <c r="B50" s="149"/>
      <c r="C50" s="33">
        <v>700</v>
      </c>
      <c r="D50" s="33">
        <v>1.25</v>
      </c>
      <c r="E50" s="152"/>
      <c r="F50" s="1"/>
    </row>
    <row r="51" spans="1:6" ht="15" customHeight="1">
      <c r="A51" s="154" t="s">
        <v>194</v>
      </c>
      <c r="B51" s="156"/>
      <c r="C51" s="34" t="s">
        <v>195</v>
      </c>
      <c r="D51" s="33">
        <v>3.25</v>
      </c>
      <c r="E51" s="157">
        <v>2.9</v>
      </c>
      <c r="F51" s="1"/>
    </row>
    <row r="52" spans="1:6" ht="14.25" customHeight="1">
      <c r="A52" s="155"/>
      <c r="B52" s="156"/>
      <c r="C52" s="34" t="s">
        <v>196</v>
      </c>
      <c r="D52" s="33">
        <v>2.9</v>
      </c>
      <c r="E52" s="157"/>
      <c r="F52" s="1"/>
    </row>
    <row r="53" spans="1:6" ht="24.75" customHeight="1">
      <c r="A53" s="160" t="s">
        <v>235</v>
      </c>
      <c r="B53" s="163" t="s">
        <v>236</v>
      </c>
      <c r="C53" s="33" t="s">
        <v>237</v>
      </c>
      <c r="D53" s="33" t="s">
        <v>239</v>
      </c>
      <c r="E53" s="166">
        <v>30000</v>
      </c>
      <c r="F53" s="1"/>
    </row>
    <row r="54" spans="1:6" ht="20.25" customHeight="1">
      <c r="A54" s="161"/>
      <c r="B54" s="164"/>
      <c r="C54" s="33" t="s">
        <v>238</v>
      </c>
      <c r="D54" s="33" t="s">
        <v>240</v>
      </c>
      <c r="E54" s="167"/>
      <c r="F54" s="1"/>
    </row>
    <row r="55" spans="1:6" ht="24" customHeight="1">
      <c r="A55" s="162"/>
      <c r="B55" s="165"/>
      <c r="C55" s="38" t="s">
        <v>242</v>
      </c>
      <c r="D55" s="33" t="s">
        <v>241</v>
      </c>
      <c r="E55" s="168"/>
      <c r="F55" s="1"/>
    </row>
    <row r="56" spans="1:6" ht="23.25" customHeight="1" thickBot="1">
      <c r="A56" s="19"/>
      <c r="B56" s="20"/>
      <c r="C56" s="20"/>
      <c r="D56" s="21"/>
      <c r="E56" s="71"/>
      <c r="F56" s="1"/>
    </row>
    <row r="57" spans="1:6" ht="23.25" customHeight="1" thickBot="1">
      <c r="A57" s="42" t="s">
        <v>199</v>
      </c>
      <c r="B57" s="58" t="s">
        <v>216</v>
      </c>
      <c r="C57" s="43">
        <v>50</v>
      </c>
      <c r="D57" s="43">
        <v>100</v>
      </c>
      <c r="E57" s="50">
        <v>200</v>
      </c>
      <c r="F57" s="54" t="s">
        <v>49</v>
      </c>
    </row>
    <row r="58" spans="1:6" ht="23.25" customHeight="1" thickBot="1">
      <c r="A58" s="44" t="s">
        <v>200</v>
      </c>
      <c r="B58" s="45">
        <v>0</v>
      </c>
      <c r="C58" s="46" t="s">
        <v>209</v>
      </c>
      <c r="D58" s="47" t="s">
        <v>210</v>
      </c>
      <c r="E58" s="51" t="s">
        <v>211</v>
      </c>
      <c r="F58" s="69">
        <v>5</v>
      </c>
    </row>
    <row r="59" spans="1:6" ht="23.25" customHeight="1" thickBot="1">
      <c r="A59" s="48" t="s">
        <v>201</v>
      </c>
      <c r="B59" s="45">
        <v>23</v>
      </c>
      <c r="C59" s="49" t="s">
        <v>202</v>
      </c>
      <c r="D59" s="49" t="s">
        <v>203</v>
      </c>
      <c r="E59" s="52" t="s">
        <v>204</v>
      </c>
      <c r="F59" s="69">
        <v>25</v>
      </c>
    </row>
    <row r="60" spans="1:6" ht="23.25" customHeight="1" thickBot="1">
      <c r="A60" s="42" t="s">
        <v>205</v>
      </c>
      <c r="B60" s="45">
        <v>0.03</v>
      </c>
      <c r="C60" s="43" t="s">
        <v>206</v>
      </c>
      <c r="D60" s="43" t="s">
        <v>207</v>
      </c>
      <c r="E60" s="50" t="s">
        <v>208</v>
      </c>
      <c r="F60" s="69">
        <v>0.03</v>
      </c>
    </row>
    <row r="61" spans="1:6" ht="23.25" customHeight="1">
      <c r="A61" s="40"/>
      <c r="B61" s="41"/>
      <c r="C61" s="41"/>
      <c r="D61" s="41"/>
      <c r="E61" s="41"/>
      <c r="F61" s="1"/>
    </row>
    <row r="62" spans="1:6" ht="18">
      <c r="A62" s="4"/>
      <c r="B62" s="4"/>
      <c r="C62" s="2"/>
      <c r="D62" s="3"/>
      <c r="E62" s="3"/>
      <c r="F62" s="1"/>
    </row>
    <row r="63" spans="1:16" ht="18" customHeight="1">
      <c r="A63" s="137" t="s">
        <v>137</v>
      </c>
      <c r="B63" s="137"/>
      <c r="C63" s="137"/>
      <c r="D63" s="137"/>
      <c r="E63" s="6"/>
      <c r="F63" s="137" t="s">
        <v>107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</row>
    <row r="64" spans="1:16" ht="18" customHeight="1">
      <c r="A64" s="138"/>
      <c r="B64" s="138"/>
      <c r="C64" s="138"/>
      <c r="D64" s="138"/>
      <c r="E64" s="6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</row>
    <row r="65" spans="1:16" ht="21.75" customHeight="1">
      <c r="A65" s="132" t="s">
        <v>84</v>
      </c>
      <c r="B65" s="132" t="s">
        <v>85</v>
      </c>
      <c r="C65" s="132"/>
      <c r="D65" s="132"/>
      <c r="E65" s="1"/>
      <c r="F65" s="141" t="s">
        <v>101</v>
      </c>
      <c r="G65" s="143" t="s">
        <v>102</v>
      </c>
      <c r="H65" s="143"/>
      <c r="I65" s="143"/>
      <c r="J65" s="143"/>
      <c r="K65" s="143"/>
      <c r="L65" s="143"/>
      <c r="M65" s="143"/>
      <c r="N65" s="143"/>
      <c r="O65" s="143"/>
      <c r="P65" s="143"/>
    </row>
    <row r="66" spans="1:16" ht="26.25" customHeight="1">
      <c r="A66" s="132"/>
      <c r="B66" s="35" t="s">
        <v>86</v>
      </c>
      <c r="C66" s="35" t="s">
        <v>87</v>
      </c>
      <c r="D66" s="35" t="s">
        <v>88</v>
      </c>
      <c r="E66" s="1"/>
      <c r="F66" s="142"/>
      <c r="G66" s="24">
        <v>100</v>
      </c>
      <c r="H66" s="24">
        <v>150</v>
      </c>
      <c r="I66" s="24">
        <v>200</v>
      </c>
      <c r="J66" s="24">
        <v>250</v>
      </c>
      <c r="K66" s="24">
        <v>300</v>
      </c>
      <c r="L66" s="24">
        <v>350</v>
      </c>
      <c r="M66" s="24">
        <v>400</v>
      </c>
      <c r="N66" s="24">
        <v>450</v>
      </c>
      <c r="O66" s="24">
        <v>500</v>
      </c>
      <c r="P66" s="24">
        <v>555</v>
      </c>
    </row>
    <row r="67" spans="1:16" ht="18.75">
      <c r="A67" s="36" t="s">
        <v>89</v>
      </c>
      <c r="B67" s="37" t="s">
        <v>100</v>
      </c>
      <c r="C67" s="36" t="s">
        <v>90</v>
      </c>
      <c r="D67" s="36" t="s">
        <v>91</v>
      </c>
      <c r="E67" s="1"/>
      <c r="F67" s="36" t="s">
        <v>103</v>
      </c>
      <c r="G67" s="36">
        <v>38</v>
      </c>
      <c r="H67" s="36">
        <v>32</v>
      </c>
      <c r="I67" s="36">
        <v>29</v>
      </c>
      <c r="J67" s="36">
        <v>27</v>
      </c>
      <c r="K67" s="36">
        <v>25</v>
      </c>
      <c r="L67" s="36">
        <v>24</v>
      </c>
      <c r="M67" s="36">
        <v>22</v>
      </c>
      <c r="N67" s="36">
        <v>21</v>
      </c>
      <c r="O67" s="36">
        <v>20</v>
      </c>
      <c r="P67" s="36">
        <v>20</v>
      </c>
    </row>
    <row r="68" spans="1:16" ht="18.75">
      <c r="A68" s="36" t="s">
        <v>92</v>
      </c>
      <c r="B68" s="36" t="s">
        <v>93</v>
      </c>
      <c r="C68" s="36" t="s">
        <v>94</v>
      </c>
      <c r="D68" s="36" t="s">
        <v>95</v>
      </c>
      <c r="E68" s="1"/>
      <c r="F68" s="36" t="s">
        <v>104</v>
      </c>
      <c r="G68" s="36">
        <v>34</v>
      </c>
      <c r="H68" s="36">
        <v>28</v>
      </c>
      <c r="I68" s="36">
        <v>25</v>
      </c>
      <c r="J68" s="36">
        <v>23</v>
      </c>
      <c r="K68" s="36">
        <v>21</v>
      </c>
      <c r="L68" s="36">
        <v>20</v>
      </c>
      <c r="M68" s="36">
        <v>18</v>
      </c>
      <c r="N68" s="36">
        <v>18</v>
      </c>
      <c r="O68" s="36">
        <v>17</v>
      </c>
      <c r="P68" s="36">
        <v>17</v>
      </c>
    </row>
    <row r="69" spans="1:16" ht="18.75">
      <c r="A69" s="36" t="s">
        <v>96</v>
      </c>
      <c r="B69" s="36" t="s">
        <v>93</v>
      </c>
      <c r="C69" s="36" t="s">
        <v>94</v>
      </c>
      <c r="D69" s="36" t="s">
        <v>97</v>
      </c>
      <c r="E69" s="1"/>
      <c r="F69" s="36" t="s">
        <v>105</v>
      </c>
      <c r="G69" s="36">
        <v>32</v>
      </c>
      <c r="H69" s="36">
        <v>26</v>
      </c>
      <c r="I69" s="36">
        <v>23</v>
      </c>
      <c r="J69" s="36">
        <v>21</v>
      </c>
      <c r="K69" s="36">
        <v>12</v>
      </c>
      <c r="L69" s="36">
        <v>18</v>
      </c>
      <c r="M69" s="36">
        <v>16</v>
      </c>
      <c r="N69" s="36">
        <v>16</v>
      </c>
      <c r="O69" s="36">
        <v>15</v>
      </c>
      <c r="P69" s="36">
        <v>15</v>
      </c>
    </row>
    <row r="70" spans="1:16" ht="36.75" customHeight="1">
      <c r="A70" s="36">
        <v>610</v>
      </c>
      <c r="B70" s="36" t="s">
        <v>98</v>
      </c>
      <c r="C70" s="36" t="s">
        <v>93</v>
      </c>
      <c r="D70" s="36" t="s">
        <v>99</v>
      </c>
      <c r="E70" s="1"/>
      <c r="F70" s="144" t="s">
        <v>106</v>
      </c>
      <c r="G70" s="144"/>
      <c r="H70" s="144"/>
      <c r="I70" s="144"/>
      <c r="J70" s="144"/>
      <c r="K70" s="144"/>
      <c r="L70" s="144"/>
      <c r="M70" s="144"/>
      <c r="N70" s="144"/>
      <c r="O70" s="144"/>
      <c r="P70" s="144"/>
    </row>
    <row r="71" spans="3:7" ht="18">
      <c r="C71" s="53" t="s">
        <v>49</v>
      </c>
      <c r="D71" s="68">
        <v>12.5</v>
      </c>
      <c r="E71" s="11"/>
      <c r="F71" s="53" t="s">
        <v>49</v>
      </c>
      <c r="G71" s="67">
        <v>15</v>
      </c>
    </row>
    <row r="73" spans="1:3" ht="12.75">
      <c r="A73" s="145" t="s">
        <v>108</v>
      </c>
      <c r="B73" s="145"/>
      <c r="C73" s="145"/>
    </row>
    <row r="74" spans="1:3" ht="12.75">
      <c r="A74" s="146" t="s">
        <v>109</v>
      </c>
      <c r="B74" s="146"/>
      <c r="C74" s="146"/>
    </row>
    <row r="75" spans="1:3" ht="12.75">
      <c r="A75" s="146" t="s">
        <v>110</v>
      </c>
      <c r="B75" s="146"/>
      <c r="C75" s="146"/>
    </row>
    <row r="76" spans="1:3" ht="12.75">
      <c r="A76" s="146" t="s">
        <v>111</v>
      </c>
      <c r="B76" s="146"/>
      <c r="C76" s="146"/>
    </row>
    <row r="77" spans="1:3" ht="12.75">
      <c r="A77" s="146" t="s">
        <v>112</v>
      </c>
      <c r="B77" s="146"/>
      <c r="C77" s="146"/>
    </row>
    <row r="78" spans="1:3" ht="12.75">
      <c r="A78" s="146" t="s">
        <v>113</v>
      </c>
      <c r="B78" s="146"/>
      <c r="C78" s="146"/>
    </row>
    <row r="79" spans="1:3" ht="12.75">
      <c r="A79" s="146" t="s">
        <v>114</v>
      </c>
      <c r="B79" s="146"/>
      <c r="C79" s="146"/>
    </row>
    <row r="80" spans="1:3" ht="12.75">
      <c r="A80" s="9"/>
      <c r="B80" s="9"/>
      <c r="C80" s="9"/>
    </row>
    <row r="81" spans="1:3" ht="21.75" customHeight="1">
      <c r="A81" s="10" t="s">
        <v>115</v>
      </c>
      <c r="B81" s="10" t="s">
        <v>158</v>
      </c>
      <c r="C81" s="10" t="s">
        <v>157</v>
      </c>
    </row>
    <row r="82" spans="1:3" ht="15">
      <c r="A82" s="15" t="s">
        <v>116</v>
      </c>
      <c r="B82" s="13">
        <v>4.27</v>
      </c>
      <c r="C82" s="13">
        <v>1.06</v>
      </c>
    </row>
    <row r="83" spans="1:3" ht="15">
      <c r="A83" s="15" t="s">
        <v>117</v>
      </c>
      <c r="B83" s="13">
        <v>3.05</v>
      </c>
      <c r="C83" s="13" t="s">
        <v>133</v>
      </c>
    </row>
    <row r="84" spans="1:3" ht="15">
      <c r="A84" s="15" t="s">
        <v>118</v>
      </c>
      <c r="B84" s="13" t="s">
        <v>130</v>
      </c>
      <c r="C84" s="13" t="s">
        <v>134</v>
      </c>
    </row>
    <row r="85" spans="1:3" ht="15">
      <c r="A85" s="15" t="s">
        <v>119</v>
      </c>
      <c r="B85" s="13" t="s">
        <v>131</v>
      </c>
      <c r="C85" s="13" t="s">
        <v>135</v>
      </c>
    </row>
    <row r="86" spans="1:3" ht="15">
      <c r="A86" s="15" t="s">
        <v>120</v>
      </c>
      <c r="B86" s="13" t="s">
        <v>132</v>
      </c>
      <c r="C86" s="13" t="s">
        <v>136</v>
      </c>
    </row>
    <row r="87" spans="1:3" ht="18">
      <c r="A87" s="12" t="s">
        <v>49</v>
      </c>
      <c r="B87" s="66">
        <v>3</v>
      </c>
      <c r="C87" s="66">
        <v>1.1</v>
      </c>
    </row>
    <row r="88" ht="13.5" thickBot="1"/>
    <row r="89" spans="1:4" ht="19.5" thickBot="1">
      <c r="A89" s="42" t="s">
        <v>217</v>
      </c>
      <c r="B89" s="59" t="s">
        <v>218</v>
      </c>
      <c r="C89" s="59" t="s">
        <v>219</v>
      </c>
      <c r="D89" s="60" t="s">
        <v>220</v>
      </c>
    </row>
    <row r="90" spans="1:4" ht="19.5" thickBot="1">
      <c r="A90" s="61" t="s">
        <v>221</v>
      </c>
      <c r="B90" s="45" t="s">
        <v>222</v>
      </c>
      <c r="C90" s="45">
        <v>380</v>
      </c>
      <c r="D90" s="45" t="s">
        <v>223</v>
      </c>
    </row>
    <row r="91" spans="1:2" ht="18">
      <c r="A91" s="12" t="s">
        <v>49</v>
      </c>
      <c r="B91" s="66">
        <v>380</v>
      </c>
    </row>
    <row r="92" ht="13.5" thickBot="1"/>
    <row r="93" spans="1:8" ht="19.5" thickBot="1">
      <c r="A93" s="42" t="s">
        <v>217</v>
      </c>
      <c r="B93" s="60" t="s">
        <v>224</v>
      </c>
      <c r="C93" s="59" t="s">
        <v>219</v>
      </c>
      <c r="D93" s="62">
        <v>100</v>
      </c>
      <c r="E93" s="125">
        <v>200</v>
      </c>
      <c r="F93" s="125"/>
      <c r="G93" s="122" t="s">
        <v>49</v>
      </c>
      <c r="H93" s="122"/>
    </row>
    <row r="94" spans="1:8" ht="38.25" customHeight="1" thickBot="1">
      <c r="A94" s="65" t="s">
        <v>232</v>
      </c>
      <c r="B94" s="45" t="s">
        <v>225</v>
      </c>
      <c r="C94" s="45" t="s">
        <v>226</v>
      </c>
      <c r="D94" s="64" t="s">
        <v>227</v>
      </c>
      <c r="E94" s="126" t="s">
        <v>228</v>
      </c>
      <c r="F94" s="126"/>
      <c r="G94" s="123">
        <v>295</v>
      </c>
      <c r="H94" s="123"/>
    </row>
    <row r="95" spans="1:8" ht="22.5" customHeight="1" thickBot="1">
      <c r="A95" s="44" t="s">
        <v>229</v>
      </c>
      <c r="B95" s="45" t="s">
        <v>230</v>
      </c>
      <c r="C95" s="45" t="s">
        <v>225</v>
      </c>
      <c r="D95" s="63" t="s">
        <v>225</v>
      </c>
      <c r="E95" s="127" t="s">
        <v>231</v>
      </c>
      <c r="F95" s="127"/>
      <c r="G95" s="124">
        <v>365</v>
      </c>
      <c r="H95" s="124"/>
    </row>
    <row r="97" spans="1:5" ht="19.5" customHeight="1">
      <c r="A97" s="172" t="s">
        <v>248</v>
      </c>
      <c r="B97" s="169" t="s">
        <v>246</v>
      </c>
      <c r="C97" s="74" t="s">
        <v>52</v>
      </c>
      <c r="D97" s="75">
        <v>225</v>
      </c>
      <c r="E97" s="170">
        <v>360</v>
      </c>
    </row>
    <row r="98" spans="1:5" ht="18.75">
      <c r="A98" s="172"/>
      <c r="B98" s="169"/>
      <c r="C98" s="74" t="s">
        <v>247</v>
      </c>
      <c r="D98" s="75">
        <v>360</v>
      </c>
      <c r="E98" s="171"/>
    </row>
    <row r="99" spans="1:5" ht="21" customHeight="1">
      <c r="A99" s="173" t="s">
        <v>166</v>
      </c>
      <c r="B99" s="176" t="s">
        <v>167</v>
      </c>
      <c r="C99" s="77" t="s">
        <v>250</v>
      </c>
      <c r="D99" s="73">
        <v>0.9</v>
      </c>
      <c r="E99" s="170">
        <v>0.75</v>
      </c>
    </row>
    <row r="100" spans="1:5" ht="18" customHeight="1">
      <c r="A100" s="174"/>
      <c r="B100" s="176"/>
      <c r="C100" s="77" t="s">
        <v>251</v>
      </c>
      <c r="D100" s="73" t="s">
        <v>253</v>
      </c>
      <c r="E100" s="177"/>
    </row>
    <row r="101" spans="1:5" ht="21.75" customHeight="1">
      <c r="A101" s="175"/>
      <c r="B101" s="176"/>
      <c r="C101" s="77" t="s">
        <v>252</v>
      </c>
      <c r="D101" s="73" t="s">
        <v>254</v>
      </c>
      <c r="E101" s="171"/>
    </row>
    <row r="102" spans="1:5" ht="21.75" customHeight="1">
      <c r="A102" s="78"/>
      <c r="B102" s="79"/>
      <c r="C102" s="80"/>
      <c r="D102" s="81"/>
      <c r="E102" s="82"/>
    </row>
    <row r="103" spans="1:5" ht="21.75" customHeight="1">
      <c r="A103" s="78"/>
      <c r="B103" s="79"/>
      <c r="C103" s="80"/>
      <c r="D103" s="81"/>
      <c r="E103" s="82"/>
    </row>
    <row r="104" spans="1:5" ht="21.75" customHeight="1">
      <c r="A104" s="78"/>
      <c r="B104" s="79"/>
      <c r="C104" s="80"/>
      <c r="D104" s="81"/>
      <c r="E104" s="82"/>
    </row>
    <row r="105" spans="1:5" ht="21.75" customHeight="1">
      <c r="A105" s="78"/>
      <c r="B105" s="79"/>
      <c r="C105" s="80"/>
      <c r="D105" s="81"/>
      <c r="E105" s="82"/>
    </row>
    <row r="106" spans="1:5" ht="21.75" customHeight="1">
      <c r="A106" s="78"/>
      <c r="B106" s="79"/>
      <c r="C106" s="80"/>
      <c r="D106" s="81"/>
      <c r="E106" s="82"/>
    </row>
    <row r="107" spans="1:4" ht="26.25" customHeight="1">
      <c r="A107" s="85" t="s">
        <v>159</v>
      </c>
      <c r="B107" s="86" t="s">
        <v>233</v>
      </c>
      <c r="C107" s="87">
        <f>SQRT((4*100*(друк!C44*1000)*вихідні!E48)/(3.14*вихідні!G71))</f>
        <v>547.7506873528567</v>
      </c>
      <c r="D107" s="91"/>
    </row>
    <row r="108" spans="1:5" ht="21">
      <c r="A108" s="85" t="s">
        <v>159</v>
      </c>
      <c r="B108" s="86" t="s">
        <v>234</v>
      </c>
      <c r="C108" s="87">
        <f>1000*SQRT((((4*D71)*(друк!C44^2)*вихідні!E48)/(3.14^2*вихідні!E53))^(2/3))</f>
        <v>552.6425659003033</v>
      </c>
      <c r="D108" s="91"/>
      <c r="E108" s="90">
        <f>(C107+C108)/2</f>
        <v>550.19662662658</v>
      </c>
    </row>
    <row r="109" spans="1:3" ht="24" customHeight="1" thickBot="1">
      <c r="A109" s="83" t="s">
        <v>49</v>
      </c>
      <c r="B109" s="84" t="s">
        <v>243</v>
      </c>
      <c r="C109" s="84">
        <v>500</v>
      </c>
    </row>
  </sheetData>
  <sheetProtection/>
  <mergeCells count="79">
    <mergeCell ref="B97:B98"/>
    <mergeCell ref="E97:E98"/>
    <mergeCell ref="A97:A98"/>
    <mergeCell ref="A99:A101"/>
    <mergeCell ref="B99:B101"/>
    <mergeCell ref="E99:E101"/>
    <mergeCell ref="A53:A55"/>
    <mergeCell ref="B53:B55"/>
    <mergeCell ref="E53:E55"/>
    <mergeCell ref="A1:D1"/>
    <mergeCell ref="A2:D2"/>
    <mergeCell ref="A3:D3"/>
    <mergeCell ref="A4:D4"/>
    <mergeCell ref="A5:D5"/>
    <mergeCell ref="A6:D6"/>
    <mergeCell ref="A7:D7"/>
    <mergeCell ref="A19:D19"/>
    <mergeCell ref="A9:D9"/>
    <mergeCell ref="A10:D10"/>
    <mergeCell ref="A11:D11"/>
    <mergeCell ref="A12:D12"/>
    <mergeCell ref="A8:D8"/>
    <mergeCell ref="A16:D16"/>
    <mergeCell ref="A17:D17"/>
    <mergeCell ref="A18:D18"/>
    <mergeCell ref="A51:A52"/>
    <mergeCell ref="B51:B52"/>
    <mergeCell ref="E51:E52"/>
    <mergeCell ref="A13:D13"/>
    <mergeCell ref="A14:D14"/>
    <mergeCell ref="A15:D15"/>
    <mergeCell ref="A20:D20"/>
    <mergeCell ref="A21:D21"/>
    <mergeCell ref="A22:D22"/>
    <mergeCell ref="A23:D23"/>
    <mergeCell ref="A78:C78"/>
    <mergeCell ref="A24:D24"/>
    <mergeCell ref="A48:A50"/>
    <mergeCell ref="B48:B50"/>
    <mergeCell ref="E48:E50"/>
    <mergeCell ref="B47:C47"/>
    <mergeCell ref="E46:E47"/>
    <mergeCell ref="A35:A37"/>
    <mergeCell ref="E35:E37"/>
    <mergeCell ref="A38:A41"/>
    <mergeCell ref="F65:F66"/>
    <mergeCell ref="G65:P65"/>
    <mergeCell ref="F70:P70"/>
    <mergeCell ref="F63:P64"/>
    <mergeCell ref="A73:C73"/>
    <mergeCell ref="A79:C79"/>
    <mergeCell ref="A74:C74"/>
    <mergeCell ref="A75:C75"/>
    <mergeCell ref="A76:C76"/>
    <mergeCell ref="A77:C77"/>
    <mergeCell ref="B65:D65"/>
    <mergeCell ref="A65:A66"/>
    <mergeCell ref="A26:E26"/>
    <mergeCell ref="A32:A34"/>
    <mergeCell ref="A63:D64"/>
    <mergeCell ref="A42:A44"/>
    <mergeCell ref="B42:B44"/>
    <mergeCell ref="E42:E44"/>
    <mergeCell ref="A46:A47"/>
    <mergeCell ref="B46:C46"/>
    <mergeCell ref="E38:E41"/>
    <mergeCell ref="B35:B37"/>
    <mergeCell ref="E29:E31"/>
    <mergeCell ref="A29:A31"/>
    <mergeCell ref="E32:E34"/>
    <mergeCell ref="B29:B31"/>
    <mergeCell ref="B32:B34"/>
    <mergeCell ref="B38:B41"/>
    <mergeCell ref="G93:H93"/>
    <mergeCell ref="G94:H94"/>
    <mergeCell ref="G95:H95"/>
    <mergeCell ref="E93:F93"/>
    <mergeCell ref="E94:F94"/>
    <mergeCell ref="E95:F9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SheetLayoutView="100" zoomScalePageLayoutView="0" workbookViewId="0" topLeftCell="A1">
      <selection activeCell="C42" sqref="C42"/>
    </sheetView>
  </sheetViews>
  <sheetFormatPr defaultColWidth="9.00390625" defaultRowHeight="12.75"/>
  <cols>
    <col min="1" max="1" width="75.00390625" style="0" customWidth="1"/>
    <col min="2" max="2" width="17.875" style="0" customWidth="1"/>
    <col min="3" max="3" width="17.375" style="0" customWidth="1"/>
    <col min="4" max="4" width="17.25390625" style="0" customWidth="1"/>
    <col min="5" max="5" width="11.375" style="0" bestFit="1" customWidth="1"/>
  </cols>
  <sheetData>
    <row r="1" spans="1:4" ht="37.5" customHeight="1">
      <c r="A1" s="179" t="s">
        <v>269</v>
      </c>
      <c r="B1" s="179"/>
      <c r="C1" s="179"/>
      <c r="D1" s="179"/>
    </row>
    <row r="2" spans="1:4" ht="42.75" customHeight="1">
      <c r="A2" s="96" t="s">
        <v>38</v>
      </c>
      <c r="B2" s="96" t="s">
        <v>39</v>
      </c>
      <c r="C2" s="96" t="s">
        <v>40</v>
      </c>
      <c r="D2" s="96" t="s">
        <v>41</v>
      </c>
    </row>
    <row r="3" spans="1:4" ht="21.75" customHeight="1">
      <c r="A3" s="97" t="s">
        <v>0</v>
      </c>
      <c r="B3" s="98" t="s">
        <v>3</v>
      </c>
      <c r="C3" s="99">
        <f>вихідні!$E$29</f>
        <v>5</v>
      </c>
      <c r="D3" s="100"/>
    </row>
    <row r="4" spans="1:4" ht="21.75" customHeight="1">
      <c r="A4" s="97" t="s">
        <v>1</v>
      </c>
      <c r="B4" s="98" t="s">
        <v>2</v>
      </c>
      <c r="C4" s="101">
        <f>(SQRT(C6))*C5</f>
        <v>5767.737858120808</v>
      </c>
      <c r="D4" s="98" t="s">
        <v>36</v>
      </c>
    </row>
    <row r="5" spans="1:4" ht="21.75" customHeight="1">
      <c r="A5" s="97" t="s">
        <v>4</v>
      </c>
      <c r="B5" s="98" t="s">
        <v>5</v>
      </c>
      <c r="C5" s="101">
        <f>1740+88*C3</f>
        <v>2180</v>
      </c>
      <c r="D5" s="98"/>
    </row>
    <row r="6" spans="1:4" ht="21.75" customHeight="1">
      <c r="A6" s="97" t="s">
        <v>6</v>
      </c>
      <c r="B6" s="98" t="s">
        <v>7</v>
      </c>
      <c r="C6" s="99">
        <f>0.14*вихідні!E28</f>
        <v>7.000000000000001</v>
      </c>
      <c r="D6" s="98" t="s">
        <v>271</v>
      </c>
    </row>
    <row r="7" spans="1:4" ht="21.75" customHeight="1">
      <c r="A7" s="97" t="s">
        <v>8</v>
      </c>
      <c r="B7" s="98" t="s">
        <v>9</v>
      </c>
      <c r="C7" s="101">
        <f>C4/C3</f>
        <v>1153.5475716241615</v>
      </c>
      <c r="D7" s="98" t="s">
        <v>36</v>
      </c>
    </row>
    <row r="8" spans="1:4" ht="21.75" customHeight="1">
      <c r="A8" s="97" t="s">
        <v>10</v>
      </c>
      <c r="B8" s="98" t="s">
        <v>11</v>
      </c>
      <c r="C8" s="101">
        <f>0.2*C7</f>
        <v>230.7095143248323</v>
      </c>
      <c r="D8" s="98" t="s">
        <v>36</v>
      </c>
    </row>
    <row r="9" spans="1:4" ht="21.75" customHeight="1">
      <c r="A9" s="97" t="s">
        <v>12</v>
      </c>
      <c r="B9" s="98" t="s">
        <v>13</v>
      </c>
      <c r="C9" s="101">
        <f>0.8*C7</f>
        <v>922.8380572993292</v>
      </c>
      <c r="D9" s="98" t="s">
        <v>36</v>
      </c>
    </row>
    <row r="10" spans="1:4" ht="21.75" customHeight="1">
      <c r="A10" s="97" t="s">
        <v>14</v>
      </c>
      <c r="B10" s="98" t="s">
        <v>15</v>
      </c>
      <c r="C10" s="101">
        <f>(1000*C12)/(0.795*(C4*C4/1000000))</f>
        <v>45.634352269928435</v>
      </c>
      <c r="D10" s="98" t="s">
        <v>36</v>
      </c>
    </row>
    <row r="11" spans="1:4" ht="21.75" customHeight="1">
      <c r="A11" s="97" t="s">
        <v>16</v>
      </c>
      <c r="B11" s="98" t="s">
        <v>17</v>
      </c>
      <c r="C11" s="101">
        <f>C4-((1.6*C4)/C3)</f>
        <v>3922.0617435221493</v>
      </c>
      <c r="D11" s="98" t="s">
        <v>36</v>
      </c>
    </row>
    <row r="12" spans="1:4" ht="21.75" customHeight="1">
      <c r="A12" s="97" t="s">
        <v>18</v>
      </c>
      <c r="B12" s="98" t="s">
        <v>19</v>
      </c>
      <c r="C12" s="99">
        <f>(0.07*вихідні!E28)/вихідні!E51</f>
        <v>1.2068965517241381</v>
      </c>
      <c r="D12" s="98" t="s">
        <v>271</v>
      </c>
    </row>
    <row r="13" spans="1:4" ht="21.75" customHeight="1">
      <c r="A13" s="97" t="s">
        <v>20</v>
      </c>
      <c r="B13" s="98" t="s">
        <v>21</v>
      </c>
      <c r="C13" s="99">
        <f>0.1*C6</f>
        <v>0.7000000000000002</v>
      </c>
      <c r="D13" s="98" t="s">
        <v>271</v>
      </c>
    </row>
    <row r="14" spans="1:4" ht="21.75" customHeight="1">
      <c r="A14" s="97" t="s">
        <v>22</v>
      </c>
      <c r="B14" s="98" t="s">
        <v>23</v>
      </c>
      <c r="C14" s="101">
        <f>C7+C10+вихідні!E32</f>
        <v>1279.18192389409</v>
      </c>
      <c r="D14" s="98" t="s">
        <v>36</v>
      </c>
    </row>
    <row r="15" spans="1:4" ht="21.75" customHeight="1">
      <c r="A15" s="97" t="s">
        <v>24</v>
      </c>
      <c r="B15" s="98" t="s">
        <v>25</v>
      </c>
      <c r="C15" s="101">
        <f>C4+2*C10+2*вихідні!E32</f>
        <v>6019.006562660665</v>
      </c>
      <c r="D15" s="98" t="s">
        <v>36</v>
      </c>
    </row>
    <row r="16" spans="1:4" ht="21.75" customHeight="1">
      <c r="A16" s="97" t="s">
        <v>26</v>
      </c>
      <c r="B16" s="98" t="s">
        <v>27</v>
      </c>
      <c r="C16" s="99">
        <f>C6+C12+C13</f>
        <v>8.906896551724138</v>
      </c>
      <c r="D16" s="98" t="s">
        <v>271</v>
      </c>
    </row>
    <row r="17" spans="1:4" ht="21.75" customHeight="1">
      <c r="A17" s="97" t="s">
        <v>0</v>
      </c>
      <c r="B17" s="98" t="s">
        <v>28</v>
      </c>
      <c r="C17" s="99">
        <f>вихідні!$E$35</f>
        <v>0.35</v>
      </c>
      <c r="D17" s="98"/>
    </row>
    <row r="18" spans="1:4" ht="21.75" customHeight="1">
      <c r="A18" s="97" t="s">
        <v>29</v>
      </c>
      <c r="B18" s="98" t="s">
        <v>191</v>
      </c>
      <c r="C18" s="101">
        <f>C17*C15</f>
        <v>2106.6522969312327</v>
      </c>
      <c r="D18" s="98" t="s">
        <v>36</v>
      </c>
    </row>
    <row r="19" spans="1:4" ht="21.75" customHeight="1">
      <c r="A19" s="97" t="s">
        <v>30</v>
      </c>
      <c r="B19" s="98" t="s">
        <v>31</v>
      </c>
      <c r="C19" s="101">
        <f>вихідні!$E$38</f>
        <v>25</v>
      </c>
      <c r="D19" s="102" t="s">
        <v>37</v>
      </c>
    </row>
    <row r="20" spans="1:4" ht="21.75" customHeight="1">
      <c r="A20" s="97" t="s">
        <v>32</v>
      </c>
      <c r="B20" s="98" t="s">
        <v>33</v>
      </c>
      <c r="C20" s="101">
        <f>вихідні!E42*C15</f>
        <v>2708.5529531972993</v>
      </c>
      <c r="D20" s="98" t="s">
        <v>36</v>
      </c>
    </row>
    <row r="21" spans="1:4" ht="21.75" customHeight="1">
      <c r="A21" s="97" t="s">
        <v>192</v>
      </c>
      <c r="B21" s="98" t="s">
        <v>69</v>
      </c>
      <c r="C21" s="101">
        <f>(вихідні!E45*POWER(вихідні!E28,0.301))*1000</f>
        <v>4869.464795214716</v>
      </c>
      <c r="D21" s="98" t="s">
        <v>36</v>
      </c>
    </row>
    <row r="22" spans="1:4" ht="21.75" customHeight="1" hidden="1">
      <c r="A22" s="97" t="s">
        <v>212</v>
      </c>
      <c r="B22" s="98" t="s">
        <v>213</v>
      </c>
      <c r="C22" s="101">
        <f>C21</f>
        <v>4869.464795214716</v>
      </c>
      <c r="D22" s="98" t="s">
        <v>36</v>
      </c>
    </row>
    <row r="23" spans="1:4" ht="21.75" customHeight="1">
      <c r="A23" s="97" t="s">
        <v>215</v>
      </c>
      <c r="B23" s="98" t="s">
        <v>214</v>
      </c>
      <c r="C23" s="101">
        <f>C22*вихідні!E46</f>
        <v>696.3334657157044</v>
      </c>
      <c r="D23" s="98" t="s">
        <v>36</v>
      </c>
    </row>
    <row r="24" spans="1:4" ht="21.75" customHeight="1">
      <c r="A24" s="97" t="s">
        <v>197</v>
      </c>
      <c r="B24" s="98" t="s">
        <v>198</v>
      </c>
      <c r="C24" s="101">
        <f>C15+(2*вихідні!F60*C15*TAN(вихідні!F59))</f>
        <v>5970.784783451597</v>
      </c>
      <c r="D24" s="98" t="s">
        <v>36</v>
      </c>
    </row>
    <row r="25" spans="1:4" ht="21.75" customHeight="1">
      <c r="A25" s="97" t="s">
        <v>34</v>
      </c>
      <c r="B25" s="98" t="s">
        <v>35</v>
      </c>
      <c r="C25" s="99">
        <f>(1.06*вихідні!E28)/1.4</f>
        <v>37.85714285714286</v>
      </c>
      <c r="D25" s="98" t="s">
        <v>271</v>
      </c>
    </row>
    <row r="26" spans="1:4" ht="10.5" customHeight="1">
      <c r="A26" s="92"/>
      <c r="B26" s="93"/>
      <c r="C26" s="94"/>
      <c r="D26" s="94"/>
    </row>
    <row r="27" spans="1:4" ht="36" customHeight="1">
      <c r="A27" s="178" t="s">
        <v>182</v>
      </c>
      <c r="B27" s="178"/>
      <c r="C27" s="178"/>
      <c r="D27" s="178"/>
    </row>
    <row r="28" spans="1:4" ht="8.25" customHeight="1">
      <c r="A28" s="95"/>
      <c r="B28" s="95"/>
      <c r="C28" s="95"/>
      <c r="D28" s="95"/>
    </row>
    <row r="29" spans="1:4" ht="35.25" customHeight="1">
      <c r="A29" s="96" t="s">
        <v>38</v>
      </c>
      <c r="B29" s="96" t="s">
        <v>39</v>
      </c>
      <c r="C29" s="96" t="s">
        <v>40</v>
      </c>
      <c r="D29" s="96" t="s">
        <v>41</v>
      </c>
    </row>
    <row r="30" spans="1:4" ht="22.5" customHeight="1">
      <c r="A30" s="97" t="s">
        <v>159</v>
      </c>
      <c r="B30" s="107" t="s">
        <v>272</v>
      </c>
      <c r="C30" s="107">
        <f>вихідні!$C$109</f>
        <v>500</v>
      </c>
      <c r="D30" s="107" t="s">
        <v>36</v>
      </c>
    </row>
    <row r="31" spans="1:4" ht="24.75" customHeight="1">
      <c r="A31" s="97" t="s">
        <v>160</v>
      </c>
      <c r="B31" s="107" t="s">
        <v>273</v>
      </c>
      <c r="C31" s="108">
        <f>вихідні!E97*POWER(вихідні!E28,-0.5)</f>
        <v>50.91168824543142</v>
      </c>
      <c r="D31" s="107" t="s">
        <v>178</v>
      </c>
    </row>
    <row r="32" spans="1:5" ht="24.75" customHeight="1">
      <c r="A32" s="97" t="s">
        <v>249</v>
      </c>
      <c r="B32" s="107" t="s">
        <v>274</v>
      </c>
      <c r="C32" s="108">
        <f>1.5*C31</f>
        <v>76.36753236814712</v>
      </c>
      <c r="D32" s="107" t="s">
        <v>178</v>
      </c>
      <c r="E32" s="103"/>
    </row>
    <row r="33" spans="1:4" ht="37.5" customHeight="1">
      <c r="A33" s="109" t="s">
        <v>164</v>
      </c>
      <c r="B33" s="107" t="s">
        <v>165</v>
      </c>
      <c r="C33" s="110">
        <f>вихідні!E28*(друк!C31+друк!C32)</f>
        <v>6363.961030678927</v>
      </c>
      <c r="D33" s="107" t="s">
        <v>178</v>
      </c>
    </row>
    <row r="34" spans="1:4" ht="21.75" customHeight="1">
      <c r="A34" s="97" t="s">
        <v>161</v>
      </c>
      <c r="B34" s="107" t="s">
        <v>162</v>
      </c>
      <c r="C34" s="110">
        <f>(0.8*вихідні!E28*((друк!C32*вихідні!E25)+(друк!C31*вихідні!C25)+414))/(вихідні!E25)</f>
        <v>18664.64698467604</v>
      </c>
      <c r="D34" s="107" t="s">
        <v>178</v>
      </c>
    </row>
    <row r="35" spans="1:5" ht="21.75" customHeight="1">
      <c r="A35" s="97" t="s">
        <v>166</v>
      </c>
      <c r="B35" s="107" t="s">
        <v>167</v>
      </c>
      <c r="C35" s="107">
        <f>вихідні!$E$99</f>
        <v>0.75</v>
      </c>
      <c r="D35" s="107"/>
      <c r="E35" s="104"/>
    </row>
    <row r="36" spans="1:5" ht="21.75" customHeight="1">
      <c r="A36" s="97" t="s">
        <v>169</v>
      </c>
      <c r="B36" s="107" t="s">
        <v>168</v>
      </c>
      <c r="C36" s="110">
        <f>1.11*((C34/(0.8*C35))^0.982)</f>
        <v>28662.88327863595</v>
      </c>
      <c r="D36" s="107" t="s">
        <v>270</v>
      </c>
      <c r="E36" s="105"/>
    </row>
    <row r="37" spans="1:5" ht="21.75" customHeight="1">
      <c r="A37" s="97" t="s">
        <v>174</v>
      </c>
      <c r="B37" s="107" t="s">
        <v>255</v>
      </c>
      <c r="C37" s="108">
        <f>C41/(C38*C35)</f>
        <v>4.655769691447958</v>
      </c>
      <c r="D37" s="107" t="s">
        <v>180</v>
      </c>
      <c r="E37" s="105"/>
    </row>
    <row r="38" spans="1:5" ht="21.75" customHeight="1">
      <c r="A38" s="97" t="s">
        <v>170</v>
      </c>
      <c r="B38" s="111" t="s">
        <v>275</v>
      </c>
      <c r="C38" s="108">
        <f>0.9*POWER(C36,-0.018)</f>
        <v>0.748188022928647</v>
      </c>
      <c r="D38" s="107"/>
      <c r="E38" s="104"/>
    </row>
    <row r="39" spans="1:5" ht="21.75" customHeight="1">
      <c r="A39" s="97" t="s">
        <v>171</v>
      </c>
      <c r="B39" s="107" t="s">
        <v>276</v>
      </c>
      <c r="C39" s="108">
        <f>36*SQRT(E39)</f>
        <v>468.4168072120045</v>
      </c>
      <c r="D39" s="107" t="s">
        <v>179</v>
      </c>
      <c r="E39" s="106">
        <f>SQRT(C36)</f>
        <v>169.30116148046932</v>
      </c>
    </row>
    <row r="40" spans="1:5" ht="21.75" customHeight="1">
      <c r="A40" s="97" t="s">
        <v>172</v>
      </c>
      <c r="B40" s="107" t="s">
        <v>277</v>
      </c>
      <c r="C40" s="108">
        <f>36*SQRT(E40)</f>
        <v>297.3722048832588</v>
      </c>
      <c r="D40" s="107" t="s">
        <v>179</v>
      </c>
      <c r="E40" s="106">
        <f>SQRT(C37*1000)</f>
        <v>68.23320080025528</v>
      </c>
    </row>
    <row r="41" spans="1:4" ht="21.75" customHeight="1">
      <c r="A41" s="97" t="s">
        <v>163</v>
      </c>
      <c r="B41" s="107" t="s">
        <v>173</v>
      </c>
      <c r="C41" s="108">
        <f>POWER(вихідні!E28,0.67)*0.19</f>
        <v>2.612543340491673</v>
      </c>
      <c r="D41" s="107" t="s">
        <v>180</v>
      </c>
    </row>
    <row r="42" spans="1:5" ht="21.75" customHeight="1">
      <c r="A42" s="97" t="s">
        <v>175</v>
      </c>
      <c r="B42" s="107" t="s">
        <v>176</v>
      </c>
      <c r="C42" s="108">
        <f>C39/C40</f>
        <v>1.5751869190191925</v>
      </c>
      <c r="D42" s="107"/>
      <c r="E42">
        <f>SQRT(C36/C37)</f>
        <v>78.46287064232878</v>
      </c>
    </row>
    <row r="43" spans="1:4" ht="21.75" customHeight="1">
      <c r="A43" s="97" t="s">
        <v>256</v>
      </c>
      <c r="B43" s="107" t="s">
        <v>278</v>
      </c>
      <c r="C43" s="108">
        <f>C36/(C39*SQRT(3))</f>
        <v>35.32862852459831</v>
      </c>
      <c r="D43" s="107" t="s">
        <v>181</v>
      </c>
    </row>
    <row r="44" spans="1:4" ht="42.75" customHeight="1">
      <c r="A44" s="109" t="s">
        <v>177</v>
      </c>
      <c r="B44" s="107" t="s">
        <v>279</v>
      </c>
      <c r="C44" s="108">
        <f>0.8*C43</f>
        <v>28.262902819678647</v>
      </c>
      <c r="D44" s="107" t="s">
        <v>181</v>
      </c>
    </row>
    <row r="45" spans="1:2" ht="18">
      <c r="A45" s="22"/>
      <c r="B45" s="2"/>
    </row>
    <row r="47" spans="1:2" ht="18">
      <c r="A47" s="22"/>
      <c r="B47" s="2"/>
    </row>
    <row r="48" spans="1:2" ht="18">
      <c r="A48" s="22"/>
      <c r="B48" s="2"/>
    </row>
    <row r="49" spans="1:2" ht="18">
      <c r="A49" s="22"/>
      <c r="B49" s="2"/>
    </row>
    <row r="50" spans="1:2" ht="18">
      <c r="A50" s="22"/>
      <c r="B50" s="2"/>
    </row>
    <row r="51" ht="18">
      <c r="A51" s="22"/>
    </row>
    <row r="52" ht="18">
      <c r="A52" s="22"/>
    </row>
    <row r="53" ht="18">
      <c r="A53" s="5"/>
    </row>
    <row r="54" ht="18">
      <c r="A54" s="5"/>
    </row>
    <row r="55" ht="18">
      <c r="A55" s="5"/>
    </row>
    <row r="56" ht="18">
      <c r="A56" s="5"/>
    </row>
    <row r="57" ht="12.75">
      <c r="A57" s="23"/>
    </row>
  </sheetData>
  <sheetProtection/>
  <mergeCells count="2">
    <mergeCell ref="A27:D27"/>
    <mergeCell ref="A1:D1"/>
  </mergeCells>
  <printOptions horizontalCentered="1" verticalCentered="1"/>
  <pageMargins left="0.7874015748031497" right="0.5905511811023623" top="0.7874015748031497" bottom="0.7874015748031497" header="0.31496062992125984" footer="0.31496062992125984"/>
  <pageSetup horizontalDpi="360" verticalDpi="36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tabSelected="1" view="pageBreakPreview" zoomScale="75" zoomScaleNormal="75" zoomScaleSheetLayoutView="75" zoomScalePageLayoutView="0" workbookViewId="0" topLeftCell="A1">
      <pane ySplit="17" topLeftCell="A27" activePane="bottomLeft" state="frozen"/>
      <selection pane="topLeft" activeCell="A1" sqref="A1"/>
      <selection pane="bottomLeft" activeCell="N12" sqref="N12"/>
    </sheetView>
  </sheetViews>
  <sheetFormatPr defaultColWidth="9.00390625" defaultRowHeight="12.75"/>
  <cols>
    <col min="1" max="1" width="10.625" style="0" customWidth="1"/>
    <col min="2" max="2" width="9.375" style="0" customWidth="1"/>
    <col min="3" max="3" width="10.875" style="0" customWidth="1"/>
    <col min="4" max="5" width="10.25390625" style="0" hidden="1" customWidth="1"/>
    <col min="6" max="6" width="10.625" style="0" customWidth="1"/>
    <col min="7" max="7" width="8.125" style="0" customWidth="1"/>
    <col min="8" max="8" width="10.875" style="0" customWidth="1"/>
    <col min="9" max="9" width="9.75390625" style="0" customWidth="1"/>
    <col min="10" max="10" width="11.875" style="0" customWidth="1"/>
    <col min="11" max="11" width="14.25390625" style="0" customWidth="1"/>
    <col min="12" max="12" width="12.125" style="0" customWidth="1"/>
    <col min="13" max="13" width="10.75390625" style="0" customWidth="1"/>
    <col min="14" max="14" width="15.875" style="0" customWidth="1"/>
    <col min="15" max="15" width="16.25390625" style="0" customWidth="1"/>
  </cols>
  <sheetData>
    <row r="1" spans="1:15" ht="33" customHeight="1">
      <c r="A1" s="196" t="s">
        <v>280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1" ht="28.5" customHeight="1">
      <c r="A2" s="197" t="s">
        <v>82</v>
      </c>
      <c r="B2" s="197"/>
      <c r="C2" s="197"/>
      <c r="D2" s="197"/>
      <c r="E2" s="197"/>
      <c r="F2" s="197"/>
      <c r="G2" s="197"/>
      <c r="H2" s="1"/>
      <c r="I2" s="1"/>
      <c r="J2" s="1"/>
      <c r="K2" s="1"/>
    </row>
    <row r="3" spans="1:12" ht="21.75" customHeight="1">
      <c r="A3" s="181" t="s">
        <v>190</v>
      </c>
      <c r="B3" s="181"/>
      <c r="C3" s="181"/>
      <c r="D3" s="181"/>
      <c r="E3" s="181"/>
      <c r="F3" s="181"/>
      <c r="G3" s="181"/>
      <c r="H3" s="191"/>
      <c r="I3" s="191"/>
      <c r="J3" s="118">
        <f>вихідні!$E$28</f>
        <v>50</v>
      </c>
      <c r="K3" s="185" t="s">
        <v>42</v>
      </c>
      <c r="L3" s="185"/>
    </row>
    <row r="4" spans="1:12" ht="21.75" customHeight="1">
      <c r="A4" s="181" t="s">
        <v>296</v>
      </c>
      <c r="B4" s="181"/>
      <c r="C4" s="181"/>
      <c r="D4" s="181"/>
      <c r="E4" s="181"/>
      <c r="F4" s="181"/>
      <c r="G4" s="181"/>
      <c r="H4" s="182" t="s">
        <v>297</v>
      </c>
      <c r="I4" s="182"/>
      <c r="J4" s="119">
        <f>друк!C39/SQRT(3)</f>
        <v>270.44056973679585</v>
      </c>
      <c r="K4" s="120" t="s">
        <v>179</v>
      </c>
      <c r="L4" s="120"/>
    </row>
    <row r="5" spans="1:12" ht="21.75" customHeight="1">
      <c r="A5" s="181" t="s">
        <v>164</v>
      </c>
      <c r="B5" s="181"/>
      <c r="C5" s="181"/>
      <c r="D5" s="181"/>
      <c r="E5" s="181"/>
      <c r="F5" s="181"/>
      <c r="G5" s="181"/>
      <c r="H5" s="182" t="s">
        <v>165</v>
      </c>
      <c r="I5" s="182"/>
      <c r="J5" s="119">
        <f>друк!C33/1000</f>
        <v>6.363961030678928</v>
      </c>
      <c r="K5" s="120" t="s">
        <v>180</v>
      </c>
      <c r="L5" s="120"/>
    </row>
    <row r="6" spans="1:12" ht="32.25" customHeight="1">
      <c r="A6" s="180" t="s">
        <v>184</v>
      </c>
      <c r="B6" s="180"/>
      <c r="C6" s="180"/>
      <c r="D6" s="180"/>
      <c r="E6" s="180"/>
      <c r="F6" s="180"/>
      <c r="G6" s="180"/>
      <c r="H6" s="184" t="s">
        <v>155</v>
      </c>
      <c r="I6" s="184"/>
      <c r="J6" s="118">
        <f>вихідні!$E$48</f>
        <v>1.25</v>
      </c>
      <c r="K6" s="185"/>
      <c r="L6" s="185"/>
    </row>
    <row r="7" spans="1:12" ht="23.25" customHeight="1">
      <c r="A7" s="180" t="s">
        <v>185</v>
      </c>
      <c r="B7" s="180"/>
      <c r="C7" s="180"/>
      <c r="D7" s="180"/>
      <c r="E7" s="180"/>
      <c r="F7" s="180"/>
      <c r="G7" s="180"/>
      <c r="H7" s="184" t="s">
        <v>294</v>
      </c>
      <c r="I7" s="184"/>
      <c r="J7" s="118">
        <f>вихідні!$C$87/1000</f>
        <v>0.0011</v>
      </c>
      <c r="K7" s="185" t="s">
        <v>183</v>
      </c>
      <c r="L7" s="185"/>
    </row>
    <row r="8" spans="1:12" ht="24.75" customHeight="1">
      <c r="A8" s="180" t="s">
        <v>186</v>
      </c>
      <c r="B8" s="180"/>
      <c r="C8" s="180"/>
      <c r="D8" s="180"/>
      <c r="E8" s="180"/>
      <c r="F8" s="180"/>
      <c r="G8" s="180"/>
      <c r="H8" s="184" t="s">
        <v>295</v>
      </c>
      <c r="I8" s="184"/>
      <c r="J8" s="118">
        <f>вихідні!$B$87/1000</f>
        <v>0.003</v>
      </c>
      <c r="K8" s="185"/>
      <c r="L8" s="185"/>
    </row>
    <row r="9" spans="1:12" ht="21" customHeight="1">
      <c r="A9" s="180" t="s">
        <v>187</v>
      </c>
      <c r="B9" s="180"/>
      <c r="C9" s="180"/>
      <c r="D9" s="180"/>
      <c r="E9" s="180"/>
      <c r="F9" s="180"/>
      <c r="G9" s="180"/>
      <c r="H9" s="192" t="s">
        <v>292</v>
      </c>
      <c r="I9" s="193"/>
      <c r="J9" s="118">
        <f>вихідні!$C$25</f>
        <v>0.3</v>
      </c>
      <c r="K9" s="185" t="s">
        <v>189</v>
      </c>
      <c r="L9" s="185"/>
    </row>
    <row r="10" spans="1:12" ht="21.75" customHeight="1">
      <c r="A10" s="180" t="s">
        <v>188</v>
      </c>
      <c r="B10" s="180"/>
      <c r="C10" s="180"/>
      <c r="D10" s="180"/>
      <c r="E10" s="180"/>
      <c r="F10" s="180"/>
      <c r="G10" s="180"/>
      <c r="H10" s="192" t="s">
        <v>293</v>
      </c>
      <c r="I10" s="193"/>
      <c r="J10" s="118">
        <f>вихідні!$E$25</f>
        <v>1.1</v>
      </c>
      <c r="K10" s="185" t="s">
        <v>189</v>
      </c>
      <c r="L10" s="185"/>
    </row>
    <row r="11" spans="1:12" ht="21.75" customHeight="1" hidden="1">
      <c r="A11" s="180" t="s">
        <v>299</v>
      </c>
      <c r="B11" s="180"/>
      <c r="C11" s="180"/>
      <c r="D11" s="180"/>
      <c r="E11" s="180"/>
      <c r="F11" s="180"/>
      <c r="G11" s="180"/>
      <c r="H11" s="194" t="s">
        <v>31</v>
      </c>
      <c r="I11" s="192"/>
      <c r="J11" s="121">
        <f>(друк!C15-друк!C18)/2</f>
        <v>1956.177132864716</v>
      </c>
      <c r="K11" s="120" t="s">
        <v>298</v>
      </c>
      <c r="L11" s="120"/>
    </row>
    <row r="12" spans="1:12" ht="21.75" customHeight="1">
      <c r="A12" s="186" t="s">
        <v>267</v>
      </c>
      <c r="B12" s="186"/>
      <c r="C12" s="186"/>
      <c r="D12" s="186"/>
      <c r="E12" s="186"/>
      <c r="F12" s="186"/>
      <c r="G12" s="186"/>
      <c r="H12" s="186"/>
      <c r="I12" s="186"/>
      <c r="J12" s="118"/>
      <c r="K12" s="185"/>
      <c r="L12" s="185"/>
    </row>
    <row r="13" spans="1:12" ht="18.75">
      <c r="A13" s="183"/>
      <c r="B13" s="183"/>
      <c r="C13" s="183"/>
      <c r="D13" s="183"/>
      <c r="E13" s="183"/>
      <c r="F13" s="183"/>
      <c r="G13" s="183"/>
      <c r="H13" s="184" t="s">
        <v>291</v>
      </c>
      <c r="I13" s="184"/>
      <c r="J13" s="119">
        <f>(D18/(SQRT(J7*J7+J8*J8)))/1000</f>
        <v>146.59514875152485</v>
      </c>
      <c r="K13" s="185" t="s">
        <v>181</v>
      </c>
      <c r="L13" s="185"/>
    </row>
    <row r="14" spans="1:15" ht="18">
      <c r="A14" s="195" t="s">
        <v>268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</row>
    <row r="15" ht="18">
      <c r="C15" s="89"/>
    </row>
    <row r="16" spans="1:15" ht="28.5" customHeight="1">
      <c r="A16" s="112" t="s">
        <v>284</v>
      </c>
      <c r="B16" s="112" t="s">
        <v>257</v>
      </c>
      <c r="C16" s="112" t="s">
        <v>285</v>
      </c>
      <c r="D16" s="112" t="s">
        <v>286</v>
      </c>
      <c r="E16" s="112" t="s">
        <v>287</v>
      </c>
      <c r="F16" s="112" t="s">
        <v>258</v>
      </c>
      <c r="G16" s="112" t="s">
        <v>259</v>
      </c>
      <c r="H16" s="187" t="s">
        <v>288</v>
      </c>
      <c r="I16" s="189" t="s">
        <v>167</v>
      </c>
      <c r="J16" s="112" t="s">
        <v>260</v>
      </c>
      <c r="K16" s="112" t="s">
        <v>261</v>
      </c>
      <c r="L16" s="112" t="s">
        <v>262</v>
      </c>
      <c r="M16" s="113" t="s">
        <v>263</v>
      </c>
      <c r="N16" s="112" t="s">
        <v>264</v>
      </c>
      <c r="O16" s="112" t="s">
        <v>265</v>
      </c>
    </row>
    <row r="17" spans="1:15" ht="28.5" customHeight="1">
      <c r="A17" s="114" t="s">
        <v>181</v>
      </c>
      <c r="B17" s="114" t="s">
        <v>180</v>
      </c>
      <c r="C17" s="114" t="s">
        <v>179</v>
      </c>
      <c r="D17" s="114" t="s">
        <v>179</v>
      </c>
      <c r="E17" s="114" t="s">
        <v>179</v>
      </c>
      <c r="F17" s="114" t="s">
        <v>180</v>
      </c>
      <c r="G17" s="114" t="s">
        <v>180</v>
      </c>
      <c r="H17" s="188"/>
      <c r="I17" s="190"/>
      <c r="J17" s="114" t="s">
        <v>282</v>
      </c>
      <c r="K17" s="117" t="s">
        <v>281</v>
      </c>
      <c r="L17" s="114" t="s">
        <v>283</v>
      </c>
      <c r="M17" s="115"/>
      <c r="N17" s="114" t="s">
        <v>290</v>
      </c>
      <c r="O17" s="116" t="s">
        <v>289</v>
      </c>
    </row>
    <row r="18" spans="1:15" ht="24.75" customHeight="1">
      <c r="A18" s="76">
        <v>2</v>
      </c>
      <c r="B18" s="76">
        <f>3*A18^2*$J$7</f>
        <v>0.0132</v>
      </c>
      <c r="C18" s="76">
        <f>(SQRT(E18^2-((A18*$J$8/1000)^2)))-(A18*$J$7/1000)</f>
        <v>270.4405675367958</v>
      </c>
      <c r="D18" s="76">
        <f>друк!$C$39</f>
        <v>468.4168072120045</v>
      </c>
      <c r="E18" s="76">
        <f>друк!$C$39/SQRT(3)</f>
        <v>270.44056973679585</v>
      </c>
      <c r="F18" s="76">
        <f>3*A18*C18/1000</f>
        <v>1.6226434052207748</v>
      </c>
      <c r="G18" s="76">
        <f aca="true" t="shared" si="0" ref="G18:G49">F18+B18</f>
        <v>1.6358434052207749</v>
      </c>
      <c r="H18" s="76">
        <f>0.001*(SQRT($J$4^2-(A18*$J$8/1000)^2))-(A18*$J$7/1000)/(A18*(F18+($J$7/1000)))</f>
        <v>0.27043989183107064</v>
      </c>
      <c r="I18" s="76">
        <f>(A18*(F18+$J$7*10^3))/E18</f>
        <v>0.020134874052887598</v>
      </c>
      <c r="J18" s="76">
        <f>(F18-$J$5)/414</f>
        <v>-0.011452458032507617</v>
      </c>
      <c r="K18" s="76">
        <f aca="true" t="shared" si="1" ref="K18:K49">G18/J18</f>
        <v>-142.83775592780694</v>
      </c>
      <c r="L18" s="76">
        <f>0.001*414/(F18-друк!$C$33/1000)</f>
        <v>-0.08731749962859643</v>
      </c>
      <c r="M18" s="76">
        <f aca="true" t="shared" si="2" ref="M18:M49">414*J18/G18</f>
        <v>-2.8983933366276347</v>
      </c>
      <c r="N18" s="76">
        <f>100*F18*C18/((друк!$C$15-друк!$C$18)/2)</f>
        <v>22.43296867370617</v>
      </c>
      <c r="O18" s="76">
        <f aca="true" t="shared" si="3" ref="O18:O49">F18*A18</f>
        <v>3.2452868104415495</v>
      </c>
    </row>
    <row r="19" spans="1:15" ht="24.75" customHeight="1">
      <c r="A19" s="76">
        <f>A18+2</f>
        <v>4</v>
      </c>
      <c r="B19" s="76">
        <f aca="true" t="shared" si="4" ref="B19:B82">3*A19^2*$J$7</f>
        <v>0.0528</v>
      </c>
      <c r="C19" s="76">
        <f>(SQRT(E19^2-((A19*$J$8/1000)^2)))-(A19*$J$7/1000)</f>
        <v>268.86537841777636</v>
      </c>
      <c r="D19" s="76">
        <f>D18-друк!$C$42</f>
        <v>466.84162029298534</v>
      </c>
      <c r="E19" s="76">
        <f>E18-друк!$C$42</f>
        <v>268.86538281777666</v>
      </c>
      <c r="F19" s="76">
        <f aca="true" t="shared" si="5" ref="F19:F82">3*A19*C19/1000</f>
        <v>3.2263845410133163</v>
      </c>
      <c r="G19" s="76">
        <f t="shared" si="0"/>
        <v>3.2791845410133162</v>
      </c>
      <c r="H19" s="76">
        <f aca="true" t="shared" si="6" ref="H19:H50">0.001*(SQRT(D19^2-(A19*$J$8/1000)^2))-(A19*$J$7/1000)/(A19*(F19+($J$7/1000)))</f>
        <v>0.46684127935420033</v>
      </c>
      <c r="I19" s="76">
        <f aca="true" t="shared" si="7" ref="I19:I50">(A19*(F19+$J$7))/D19</f>
        <v>0.027653785787032252</v>
      </c>
      <c r="J19" s="76">
        <f aca="true" t="shared" si="8" ref="J19:J82">(F19-$J$5)/414</f>
        <v>-0.0075786871731053414</v>
      </c>
      <c r="K19" s="76">
        <f t="shared" si="1"/>
        <v>-432.68503714604196</v>
      </c>
      <c r="L19" s="76">
        <f>0.001*414/(F19-друк!$C$33/1000)</f>
        <v>-0.13194897442775086</v>
      </c>
      <c r="M19" s="76">
        <f t="shared" si="2"/>
        <v>-0.9568160774190689</v>
      </c>
      <c r="N19" s="76">
        <f>100*F19*C19/((друк!$C$15-друк!$C$18)/2)</f>
        <v>44.34481346126646</v>
      </c>
      <c r="O19" s="76">
        <f t="shared" si="3"/>
        <v>12.905538164053265</v>
      </c>
    </row>
    <row r="20" spans="1:15" ht="24.75" customHeight="1">
      <c r="A20" s="76">
        <f aca="true" t="shared" si="9" ref="A20:A83">A19+2</f>
        <v>6</v>
      </c>
      <c r="B20" s="76">
        <f t="shared" si="4"/>
        <v>0.1188</v>
      </c>
      <c r="C20" s="76">
        <f aca="true" t="shared" si="10" ref="C20:C82">(SQRT(E20^2-((A20*$J$8/1000)^2)))-(A20*$J$7/1000)</f>
        <v>267.2901892987569</v>
      </c>
      <c r="D20" s="76">
        <f>D19-друк!$C$42</f>
        <v>465.26643337396615</v>
      </c>
      <c r="E20" s="76">
        <f>E19-друк!$C$42</f>
        <v>267.2901958987575</v>
      </c>
      <c r="F20" s="76">
        <f t="shared" si="5"/>
        <v>4.811223407377624</v>
      </c>
      <c r="G20" s="76">
        <f t="shared" si="0"/>
        <v>4.930023407377624</v>
      </c>
      <c r="H20" s="76">
        <f t="shared" si="6"/>
        <v>0.46526620474194125</v>
      </c>
      <c r="I20" s="76">
        <f t="shared" si="7"/>
        <v>0.06205893735957049</v>
      </c>
      <c r="J20" s="76">
        <f t="shared" si="8"/>
        <v>-0.00375057396932682</v>
      </c>
      <c r="K20" s="76">
        <f t="shared" si="1"/>
        <v>-1314.471717581536</v>
      </c>
      <c r="L20" s="76">
        <f>0.001*414/(F20-друк!$C$33/1000)</f>
        <v>-0.2666258573163102</v>
      </c>
      <c r="M20" s="76">
        <f t="shared" si="2"/>
        <v>-0.3149554261705291</v>
      </c>
      <c r="N20" s="76">
        <f>100*F20*C20/((друк!$C$15-друк!$C$18)/2)</f>
        <v>65.74010061314377</v>
      </c>
      <c r="O20" s="76">
        <f t="shared" si="3"/>
        <v>28.867340444265743</v>
      </c>
    </row>
    <row r="21" spans="1:15" ht="24.75" customHeight="1">
      <c r="A21" s="76">
        <f t="shared" si="9"/>
        <v>8</v>
      </c>
      <c r="B21" s="76">
        <f t="shared" si="4"/>
        <v>0.2112</v>
      </c>
      <c r="C21" s="76">
        <f t="shared" si="10"/>
        <v>265.7150001797372</v>
      </c>
      <c r="D21" s="76">
        <f>D20-друк!$C$42</f>
        <v>463.69124645494696</v>
      </c>
      <c r="E21" s="76">
        <f>E20-друк!$C$42</f>
        <v>265.7150089797383</v>
      </c>
      <c r="F21" s="76">
        <f t="shared" si="5"/>
        <v>6.377160004313693</v>
      </c>
      <c r="G21" s="76">
        <f t="shared" si="0"/>
        <v>6.588360004313693</v>
      </c>
      <c r="H21" s="76">
        <f t="shared" si="6"/>
        <v>0.4636910739644005</v>
      </c>
      <c r="I21" s="76">
        <f t="shared" si="7"/>
        <v>0.1100432247203686</v>
      </c>
      <c r="J21" s="76">
        <f t="shared" si="8"/>
        <v>3.188157882793658E-05</v>
      </c>
      <c r="K21" s="76">
        <f t="shared" si="1"/>
        <v>206650.9955441909</v>
      </c>
      <c r="L21" s="76">
        <f>0.001*414/(F21-друк!$C$33/1000)</f>
        <v>31.36607523099638</v>
      </c>
      <c r="M21" s="76">
        <f t="shared" si="2"/>
        <v>0.0020033777186012586</v>
      </c>
      <c r="N21" s="76">
        <f>100*F21*C21/((друк!$C$15-друк!$C$18)/2)</f>
        <v>86.62339637980084</v>
      </c>
      <c r="O21" s="76">
        <f t="shared" si="3"/>
        <v>51.01728003450955</v>
      </c>
    </row>
    <row r="22" spans="1:15" ht="24.75" customHeight="1">
      <c r="A22" s="76">
        <f t="shared" si="9"/>
        <v>10</v>
      </c>
      <c r="B22" s="76">
        <f t="shared" si="4"/>
        <v>0.33</v>
      </c>
      <c r="C22" s="76">
        <f t="shared" si="10"/>
        <v>264.1398110607174</v>
      </c>
      <c r="D22" s="76">
        <f>D21-друк!$C$42</f>
        <v>462.1160595359278</v>
      </c>
      <c r="E22" s="76">
        <f>E21-друк!$C$42</f>
        <v>264.1398220607191</v>
      </c>
      <c r="F22" s="76">
        <f t="shared" si="5"/>
        <v>7.924194331821522</v>
      </c>
      <c r="G22" s="76">
        <f t="shared" si="0"/>
        <v>8.254194331821521</v>
      </c>
      <c r="H22" s="76">
        <f t="shared" si="6"/>
        <v>0.46211592072057206</v>
      </c>
      <c r="I22" s="76">
        <f t="shared" si="7"/>
        <v>0.17150008462766614</v>
      </c>
      <c r="J22" s="76">
        <f t="shared" si="8"/>
        <v>0.003768679471358924</v>
      </c>
      <c r="K22" s="76">
        <f t="shared" si="1"/>
        <v>2190.208637946382</v>
      </c>
      <c r="L22" s="76">
        <f>0.001*414/(F22-друк!$C$33/1000)</f>
        <v>0.2653449325154247</v>
      </c>
      <c r="M22" s="76">
        <f t="shared" si="2"/>
        <v>0.18902308795027908</v>
      </c>
      <c r="N22" s="76">
        <f>100*F22*C22/((друк!$C$15-друк!$C$18)/2)</f>
        <v>106.99926701170051</v>
      </c>
      <c r="O22" s="76">
        <f t="shared" si="3"/>
        <v>79.24194331821522</v>
      </c>
    </row>
    <row r="23" spans="1:15" ht="24.75" customHeight="1">
      <c r="A23" s="76">
        <f t="shared" si="9"/>
        <v>12</v>
      </c>
      <c r="B23" s="76">
        <f t="shared" si="4"/>
        <v>0.4752</v>
      </c>
      <c r="C23" s="76">
        <f t="shared" si="10"/>
        <v>262.56462194169745</v>
      </c>
      <c r="D23" s="76">
        <f>D22-друк!$C$42</f>
        <v>460.5408726169086</v>
      </c>
      <c r="E23" s="76">
        <f>E22-друк!$C$42</f>
        <v>262.5646351416999</v>
      </c>
      <c r="F23" s="76">
        <f t="shared" si="5"/>
        <v>9.45232638990111</v>
      </c>
      <c r="G23" s="76">
        <f t="shared" si="0"/>
        <v>9.927526389901109</v>
      </c>
      <c r="H23" s="76">
        <f t="shared" si="6"/>
        <v>0.46054075624345303</v>
      </c>
      <c r="I23" s="76">
        <f t="shared" si="7"/>
        <v>0.2463214959276306</v>
      </c>
      <c r="J23" s="76">
        <f t="shared" si="8"/>
        <v>0.0074598197082661405</v>
      </c>
      <c r="K23" s="76">
        <f t="shared" si="1"/>
        <v>1330.7997750804261</v>
      </c>
      <c r="L23" s="76">
        <f>0.001*414/(F23-друк!$C$33/1000)</f>
        <v>0.13405149710145295</v>
      </c>
      <c r="M23" s="76">
        <f t="shared" si="2"/>
        <v>0.311091125616534</v>
      </c>
      <c r="N23" s="76">
        <f>100*F23*C23/((друк!$C$15-друк!$C$18)/2)</f>
        <v>126.87227875930563</v>
      </c>
      <c r="O23" s="76">
        <f t="shared" si="3"/>
        <v>113.42791667881332</v>
      </c>
    </row>
    <row r="24" spans="1:15" ht="24.75" customHeight="1">
      <c r="A24" s="76">
        <f t="shared" si="9"/>
        <v>14</v>
      </c>
      <c r="B24" s="76">
        <f t="shared" si="4"/>
        <v>0.6468</v>
      </c>
      <c r="C24" s="76">
        <f t="shared" si="10"/>
        <v>260.9894328226774</v>
      </c>
      <c r="D24" s="76">
        <f>D23-друк!$C$42</f>
        <v>458.9656856978894</v>
      </c>
      <c r="E24" s="76">
        <f>E23-друк!$C$42</f>
        <v>260.9894482226807</v>
      </c>
      <c r="F24" s="76">
        <f t="shared" si="5"/>
        <v>10.96155617855245</v>
      </c>
      <c r="G24" s="76">
        <f t="shared" si="0"/>
        <v>11.60835617855245</v>
      </c>
      <c r="H24" s="76">
        <f t="shared" si="6"/>
        <v>0.45896558534718257</v>
      </c>
      <c r="I24" s="76">
        <f t="shared" si="7"/>
        <v>0.33439795453632115</v>
      </c>
      <c r="J24" s="76">
        <f t="shared" si="8"/>
        <v>0.01110530228954957</v>
      </c>
      <c r="K24" s="76">
        <f t="shared" si="1"/>
        <v>1045.298531808204</v>
      </c>
      <c r="L24" s="76">
        <f>0.001*414/(F24-друк!$C$33/1000)</f>
        <v>0.09004707606573041</v>
      </c>
      <c r="M24" s="76">
        <f t="shared" si="2"/>
        <v>0.3960591040760809</v>
      </c>
      <c r="N24" s="76">
        <f>100*F24*C24/((друк!$C$15-друк!$C$18)/2)</f>
        <v>146.24699787307895</v>
      </c>
      <c r="O24" s="76">
        <f t="shared" si="3"/>
        <v>153.46178649973427</v>
      </c>
    </row>
    <row r="25" spans="1:15" ht="24.75" customHeight="1">
      <c r="A25" s="76">
        <f t="shared" si="9"/>
        <v>16</v>
      </c>
      <c r="B25" s="76">
        <f t="shared" si="4"/>
        <v>0.8448</v>
      </c>
      <c r="C25" s="76">
        <f t="shared" si="10"/>
        <v>259.4142437036571</v>
      </c>
      <c r="D25" s="76">
        <f>D24-друк!$C$42</f>
        <v>457.3904987788702</v>
      </c>
      <c r="E25" s="76">
        <f>E24-друк!$C$42</f>
        <v>259.41426130366153</v>
      </c>
      <c r="F25" s="76">
        <f t="shared" si="5"/>
        <v>12.451883697775541</v>
      </c>
      <c r="G25" s="76">
        <f t="shared" si="0"/>
        <v>13.29668369777554</v>
      </c>
      <c r="H25" s="76">
        <f t="shared" si="6"/>
        <v>0.45739041043882783</v>
      </c>
      <c r="I25" s="76">
        <f t="shared" si="7"/>
        <v>0.43561844790470133</v>
      </c>
      <c r="J25" s="76">
        <f t="shared" si="8"/>
        <v>0.014705127215209212</v>
      </c>
      <c r="K25" s="76">
        <f t="shared" si="1"/>
        <v>904.2209226196325</v>
      </c>
      <c r="L25" s="76">
        <f>0.001*414/(F25-друк!$C$33/1000)</f>
        <v>0.06800349193618133</v>
      </c>
      <c r="M25" s="76">
        <f t="shared" si="2"/>
        <v>0.4578527101547199</v>
      </c>
      <c r="N25" s="76">
        <f>100*F25*C25/((друк!$C$15-друк!$C$18)/2)</f>
        <v>165.1279906034834</v>
      </c>
      <c r="O25" s="76">
        <f t="shared" si="3"/>
        <v>199.23013916440866</v>
      </c>
    </row>
    <row r="26" spans="1:15" ht="24.75" customHeight="1">
      <c r="A26" s="76">
        <f t="shared" si="9"/>
        <v>18</v>
      </c>
      <c r="B26" s="76">
        <f t="shared" si="4"/>
        <v>1.0692000000000002</v>
      </c>
      <c r="C26" s="76">
        <f t="shared" si="10"/>
        <v>257.8390545846367</v>
      </c>
      <c r="D26" s="76">
        <f>D25-друк!$C$42</f>
        <v>455.815311859851</v>
      </c>
      <c r="E26" s="76">
        <f>E25-друк!$C$42</f>
        <v>257.83907438464234</v>
      </c>
      <c r="F26" s="76">
        <f t="shared" si="5"/>
        <v>13.923308947570382</v>
      </c>
      <c r="G26" s="76">
        <f t="shared" si="0"/>
        <v>14.992508947570382</v>
      </c>
      <c r="H26" s="76">
        <f t="shared" si="6"/>
        <v>0.45581523285564585</v>
      </c>
      <c r="I26" s="76">
        <f t="shared" si="7"/>
        <v>0.5498704289541959</v>
      </c>
      <c r="J26" s="76">
        <f t="shared" si="8"/>
        <v>0.018259294485245058</v>
      </c>
      <c r="K26" s="76">
        <f t="shared" si="1"/>
        <v>821.0891696656464</v>
      </c>
      <c r="L26" s="76">
        <f>0.001*414/(F26-друк!$C$33/1000)</f>
        <v>0.05476662862347056</v>
      </c>
      <c r="M26" s="76">
        <f t="shared" si="2"/>
        <v>0.5042083311957261</v>
      </c>
      <c r="N26" s="76">
        <f>100*F26*C26/((друк!$C$15-друк!$C$18)/2)</f>
        <v>183.5198232009817</v>
      </c>
      <c r="O26" s="76">
        <f t="shared" si="3"/>
        <v>250.61956105626686</v>
      </c>
    </row>
    <row r="27" spans="1:15" ht="24.75" customHeight="1">
      <c r="A27" s="76">
        <f t="shared" si="9"/>
        <v>20</v>
      </c>
      <c r="B27" s="76">
        <f t="shared" si="4"/>
        <v>1.32</v>
      </c>
      <c r="C27" s="76">
        <f t="shared" si="10"/>
        <v>256.26386546561616</v>
      </c>
      <c r="D27" s="76">
        <f>D26-друк!$C$42</f>
        <v>454.24012494083183</v>
      </c>
      <c r="E27" s="76">
        <f>E26-друк!$C$42</f>
        <v>256.26388746562316</v>
      </c>
      <c r="F27" s="76">
        <f t="shared" si="5"/>
        <v>15.37583192793697</v>
      </c>
      <c r="G27" s="76">
        <f t="shared" si="0"/>
        <v>16.69583192793697</v>
      </c>
      <c r="H27" s="76">
        <f t="shared" si="6"/>
        <v>0.4542400533999886</v>
      </c>
      <c r="I27" s="76">
        <f t="shared" si="7"/>
        <v>0.6770397894699386</v>
      </c>
      <c r="J27" s="76">
        <f t="shared" si="8"/>
        <v>0.021767804099657107</v>
      </c>
      <c r="K27" s="76">
        <f t="shared" si="1"/>
        <v>766.9966089138024</v>
      </c>
      <c r="L27" s="76">
        <f>0.001*414/(F27-друк!$C$33/1000)</f>
        <v>0.045939406447329814</v>
      </c>
      <c r="M27" s="76">
        <f t="shared" si="2"/>
        <v>0.5397677058654723</v>
      </c>
      <c r="N27" s="76">
        <f>100*F27*C27/((друк!$C$15-друк!$C$18)/2)</f>
        <v>201.42706191603682</v>
      </c>
      <c r="O27" s="76">
        <f t="shared" si="3"/>
        <v>307.5166385587394</v>
      </c>
    </row>
    <row r="28" spans="1:15" ht="24.75" customHeight="1">
      <c r="A28" s="76">
        <f t="shared" si="9"/>
        <v>22</v>
      </c>
      <c r="B28" s="76">
        <f t="shared" si="4"/>
        <v>1.5972000000000002</v>
      </c>
      <c r="C28" s="76">
        <f t="shared" si="10"/>
        <v>254.6886763465954</v>
      </c>
      <c r="D28" s="76">
        <f>D27-друк!$C$42</f>
        <v>452.66493802181265</v>
      </c>
      <c r="E28" s="76">
        <f>E27-друк!$C$42</f>
        <v>254.68870054660397</v>
      </c>
      <c r="F28" s="76">
        <f t="shared" si="5"/>
        <v>16.809452638875296</v>
      </c>
      <c r="G28" s="76">
        <f t="shared" si="0"/>
        <v>18.406652638875297</v>
      </c>
      <c r="H28" s="76">
        <f t="shared" si="6"/>
        <v>0.4526648725824416</v>
      </c>
      <c r="I28" s="76">
        <f t="shared" si="7"/>
        <v>0.817010832938502</v>
      </c>
      <c r="J28" s="76">
        <f t="shared" si="8"/>
        <v>0.025230656058445336</v>
      </c>
      <c r="K28" s="76">
        <f t="shared" si="1"/>
        <v>729.535236667543</v>
      </c>
      <c r="L28" s="76">
        <f>0.001*414/(F28-друк!$C$33/1000)</f>
        <v>0.03963432412076637</v>
      </c>
      <c r="M28" s="76">
        <f t="shared" si="2"/>
        <v>0.5674845835975215</v>
      </c>
      <c r="N28" s="76">
        <f>100*F28*C28/((друк!$C$15-друк!$C$18)/2)</f>
        <v>218.85427299911134</v>
      </c>
      <c r="O28" s="76">
        <f t="shared" si="3"/>
        <v>369.8079580552565</v>
      </c>
    </row>
    <row r="29" spans="1:15" ht="24.75" customHeight="1">
      <c r="A29" s="76">
        <f t="shared" si="9"/>
        <v>24</v>
      </c>
      <c r="B29" s="76">
        <f t="shared" si="4"/>
        <v>1.9008</v>
      </c>
      <c r="C29" s="76">
        <f t="shared" si="10"/>
        <v>253.11348722757455</v>
      </c>
      <c r="D29" s="76">
        <f>D28-друк!$C$42</f>
        <v>451.08975110279346</v>
      </c>
      <c r="E29" s="76">
        <f>E28-друк!$C$42</f>
        <v>253.11351362758478</v>
      </c>
      <c r="F29" s="76">
        <f t="shared" si="5"/>
        <v>18.224171080385368</v>
      </c>
      <c r="G29" s="76">
        <f t="shared" si="0"/>
        <v>20.124971080385368</v>
      </c>
      <c r="H29" s="76">
        <f t="shared" si="6"/>
        <v>0.4510896907433931</v>
      </c>
      <c r="I29" s="76">
        <f t="shared" si="7"/>
        <v>0.969666246816531</v>
      </c>
      <c r="J29" s="76">
        <f t="shared" si="8"/>
        <v>0.02864785036160976</v>
      </c>
      <c r="K29" s="76">
        <f t="shared" si="1"/>
        <v>702.4949804734501</v>
      </c>
      <c r="L29" s="76">
        <f>0.001*414/(F29-друк!$C$33/1000)</f>
        <v>0.034906633041482026</v>
      </c>
      <c r="M29" s="76">
        <f t="shared" si="2"/>
        <v>0.5893280543029398</v>
      </c>
      <c r="N29" s="76">
        <f>100*F29*C29/((друк!$C$15-друк!$C$18)/2)</f>
        <v>235.80602270066836</v>
      </c>
      <c r="O29" s="76">
        <f t="shared" si="3"/>
        <v>437.3801059292488</v>
      </c>
    </row>
    <row r="30" spans="1:15" ht="24.75" customHeight="1">
      <c r="A30" s="76">
        <f t="shared" si="9"/>
        <v>26</v>
      </c>
      <c r="B30" s="76">
        <f t="shared" si="4"/>
        <v>2.2308000000000003</v>
      </c>
      <c r="C30" s="76">
        <f t="shared" si="10"/>
        <v>251.5382981085535</v>
      </c>
      <c r="D30" s="76">
        <f>D29-друк!$C$42</f>
        <v>449.51456418377427</v>
      </c>
      <c r="E30" s="76">
        <f>E29-друк!$C$42</f>
        <v>251.5383267085656</v>
      </c>
      <c r="F30" s="76">
        <f t="shared" si="5"/>
        <v>19.619987252467173</v>
      </c>
      <c r="G30" s="76">
        <f t="shared" si="0"/>
        <v>21.85078725246717</v>
      </c>
      <c r="H30" s="76">
        <f t="shared" si="6"/>
        <v>0.4495145081184947</v>
      </c>
      <c r="I30" s="76">
        <f t="shared" si="7"/>
        <v>1.1348870742163173</v>
      </c>
      <c r="J30" s="76">
        <f t="shared" si="8"/>
        <v>0.03201938700915035</v>
      </c>
      <c r="K30" s="76">
        <f t="shared" si="1"/>
        <v>682.4236593356005</v>
      </c>
      <c r="L30" s="76">
        <f>0.001*414/(F30-друк!$C$33/1000)</f>
        <v>0.03123107883715028</v>
      </c>
      <c r="M30" s="76">
        <f t="shared" si="2"/>
        <v>0.6066612643574893</v>
      </c>
      <c r="N30" s="76">
        <f>100*F30*C30/((друк!$C$15-друк!$C$18)/2)</f>
        <v>252.28687727117048</v>
      </c>
      <c r="O30" s="76">
        <f t="shared" si="3"/>
        <v>510.1196685641465</v>
      </c>
    </row>
    <row r="31" spans="1:15" ht="24.75" customHeight="1">
      <c r="A31" s="76">
        <f t="shared" si="9"/>
        <v>28</v>
      </c>
      <c r="B31" s="76">
        <f t="shared" si="4"/>
        <v>2.5872</v>
      </c>
      <c r="C31" s="76">
        <f t="shared" si="10"/>
        <v>249.9631089895323</v>
      </c>
      <c r="D31" s="76">
        <f>D30-друк!$C$42</f>
        <v>447.9393772647551</v>
      </c>
      <c r="E31" s="76">
        <f>E30-друк!$C$42</f>
        <v>249.9631397895464</v>
      </c>
      <c r="F31" s="76">
        <f t="shared" si="5"/>
        <v>20.99690115512071</v>
      </c>
      <c r="G31" s="76">
        <f t="shared" si="0"/>
        <v>23.58410115512071</v>
      </c>
      <c r="H31" s="76">
        <f t="shared" si="6"/>
        <v>0.4479393248760669</v>
      </c>
      <c r="I31" s="76">
        <f t="shared" si="7"/>
        <v>1.3125526849939673</v>
      </c>
      <c r="J31" s="76">
        <f t="shared" si="8"/>
        <v>0.035345266001067105</v>
      </c>
      <c r="K31" s="76">
        <f t="shared" si="1"/>
        <v>667.2492195817308</v>
      </c>
      <c r="L31" s="76">
        <f>0.001*414/(F31-друк!$C$33/1000)</f>
        <v>0.028292331990649303</v>
      </c>
      <c r="M31" s="76">
        <f t="shared" si="2"/>
        <v>0.6204578257274221</v>
      </c>
      <c r="N31" s="76">
        <f>100*F31*C31/((друк!$C$15-друк!$C$18)/2)</f>
        <v>268.30140296108056</v>
      </c>
      <c r="O31" s="76">
        <f t="shared" si="3"/>
        <v>587.9132323433798</v>
      </c>
    </row>
    <row r="32" spans="1:15" ht="24.75" customHeight="1">
      <c r="A32" s="76">
        <f t="shared" si="9"/>
        <v>30</v>
      </c>
      <c r="B32" s="76">
        <f t="shared" si="4"/>
        <v>2.97</v>
      </c>
      <c r="C32" s="76">
        <f t="shared" si="10"/>
        <v>248.3879198705109</v>
      </c>
      <c r="D32" s="76">
        <f>D31-друк!$C$42</f>
        <v>446.3641903457359</v>
      </c>
      <c r="E32" s="76">
        <f>E31-друк!$C$42</f>
        <v>248.38795287052722</v>
      </c>
      <c r="F32" s="76">
        <f t="shared" si="5"/>
        <v>22.35491278834598</v>
      </c>
      <c r="G32" s="76">
        <f t="shared" si="0"/>
        <v>25.32491278834598</v>
      </c>
      <c r="H32" s="76">
        <f t="shared" si="6"/>
        <v>0.44636414113954315</v>
      </c>
      <c r="I32" s="76">
        <f t="shared" si="7"/>
        <v>1.5025407462254021</v>
      </c>
      <c r="J32" s="76">
        <f t="shared" si="8"/>
        <v>0.038625487337360036</v>
      </c>
      <c r="K32" s="76">
        <f t="shared" si="1"/>
        <v>655.6529000438206</v>
      </c>
      <c r="L32" s="76">
        <f>0.001*414/(F32-друк!$C$33/1000)</f>
        <v>0.02588964098409607</v>
      </c>
      <c r="M32" s="76">
        <f t="shared" si="2"/>
        <v>0.631431661435998</v>
      </c>
      <c r="N32" s="76">
        <f>100*F32*C32/((друк!$C$15-друк!$C$18)/2)</f>
        <v>283.85416602086156</v>
      </c>
      <c r="O32" s="76">
        <f t="shared" si="3"/>
        <v>670.6473836503794</v>
      </c>
    </row>
    <row r="33" spans="1:15" ht="24.75" customHeight="1">
      <c r="A33" s="76">
        <f t="shared" si="9"/>
        <v>32</v>
      </c>
      <c r="B33" s="76">
        <f t="shared" si="4"/>
        <v>3.3792</v>
      </c>
      <c r="C33" s="76">
        <f t="shared" si="10"/>
        <v>246.81273075148934</v>
      </c>
      <c r="D33" s="76">
        <f>D32-друк!$C$42</f>
        <v>444.7890034267167</v>
      </c>
      <c r="E33" s="76">
        <f>E32-друк!$C$42</f>
        <v>246.81276595150803</v>
      </c>
      <c r="F33" s="76">
        <f t="shared" si="5"/>
        <v>23.694022152142978</v>
      </c>
      <c r="G33" s="76">
        <f t="shared" si="0"/>
        <v>27.07322215214298</v>
      </c>
      <c r="H33" s="76">
        <f t="shared" si="6"/>
        <v>0.4447889570014965</v>
      </c>
      <c r="I33" s="76">
        <f t="shared" si="7"/>
        <v>1.7047271920550153</v>
      </c>
      <c r="J33" s="76">
        <f t="shared" si="8"/>
        <v>0.0418600510180291</v>
      </c>
      <c r="K33" s="76">
        <f t="shared" si="1"/>
        <v>646.7555937875603</v>
      </c>
      <c r="L33" s="76">
        <f>0.001*414/(F33-друк!$C$33/1000)</f>
        <v>0.023889125208406952</v>
      </c>
      <c r="M33" s="76">
        <f t="shared" si="2"/>
        <v>0.6401181589717901</v>
      </c>
      <c r="N33" s="76">
        <f>100*F33*C33/((друк!$C$15-друк!$C$18)/2)</f>
        <v>298.9497327009762</v>
      </c>
      <c r="O33" s="76">
        <f t="shared" si="3"/>
        <v>758.2087088685753</v>
      </c>
    </row>
    <row r="34" spans="1:15" ht="24.75" customHeight="1">
      <c r="A34" s="76">
        <f t="shared" si="9"/>
        <v>34</v>
      </c>
      <c r="B34" s="76">
        <f t="shared" si="4"/>
        <v>3.8148000000000004</v>
      </c>
      <c r="C34" s="76">
        <f t="shared" si="10"/>
        <v>245.23754163246764</v>
      </c>
      <c r="D34" s="76">
        <f>D33-друк!$C$42</f>
        <v>443.2138165076975</v>
      </c>
      <c r="E34" s="76">
        <f>E33-друк!$C$42</f>
        <v>245.23757903248884</v>
      </c>
      <c r="F34" s="76">
        <f t="shared" si="5"/>
        <v>25.0142292465117</v>
      </c>
      <c r="G34" s="76">
        <f t="shared" si="0"/>
        <v>28.829029246511702</v>
      </c>
      <c r="H34" s="76">
        <f t="shared" si="6"/>
        <v>0.443213772532717</v>
      </c>
      <c r="I34" s="76">
        <f t="shared" si="7"/>
        <v>1.9189861929013814</v>
      </c>
      <c r="J34" s="76">
        <f t="shared" si="8"/>
        <v>0.045048957043074336</v>
      </c>
      <c r="K34" s="76">
        <f t="shared" si="1"/>
        <v>639.9488720448362</v>
      </c>
      <c r="L34" s="76">
        <f>0.001*414/(F34-друк!$C$33/1000)</f>
        <v>0.022198072178315535</v>
      </c>
      <c r="M34" s="76">
        <f t="shared" si="2"/>
        <v>0.6469266813099316</v>
      </c>
      <c r="N34" s="76">
        <f>100*F34*C34/((друк!$C$15-друк!$C$18)/2)</f>
        <v>313.5926692518874</v>
      </c>
      <c r="O34" s="76">
        <f t="shared" si="3"/>
        <v>850.4837943813978</v>
      </c>
    </row>
    <row r="35" spans="1:15" ht="24.75" customHeight="1">
      <c r="A35" s="76">
        <f t="shared" si="9"/>
        <v>36</v>
      </c>
      <c r="B35" s="76">
        <f t="shared" si="4"/>
        <v>4.276800000000001</v>
      </c>
      <c r="C35" s="76">
        <f t="shared" si="10"/>
        <v>243.6623525134457</v>
      </c>
      <c r="D35" s="76">
        <f>D34-друк!$C$42</f>
        <v>441.6386295886783</v>
      </c>
      <c r="E35" s="76">
        <f>E34-друк!$C$42</f>
        <v>243.66239211346965</v>
      </c>
      <c r="F35" s="76">
        <f t="shared" si="5"/>
        <v>26.315534071452138</v>
      </c>
      <c r="G35" s="76">
        <f t="shared" si="0"/>
        <v>30.59233407145214</v>
      </c>
      <c r="H35" s="76">
        <f t="shared" si="6"/>
        <v>0.4416385877882612</v>
      </c>
      <c r="I35" s="76">
        <f t="shared" si="7"/>
        <v>2.1451901240039626</v>
      </c>
      <c r="J35" s="76">
        <f t="shared" si="8"/>
        <v>0.04819220541249568</v>
      </c>
      <c r="K35" s="76">
        <f t="shared" si="1"/>
        <v>634.7983830497183</v>
      </c>
      <c r="L35" s="76">
        <f>0.001*414/(F35-друк!$C$33/1000)</f>
        <v>0.02075024355994116</v>
      </c>
      <c r="M35" s="76">
        <f t="shared" si="2"/>
        <v>0.6521755742524866</v>
      </c>
      <c r="N35" s="76">
        <f>100*F35*C35/((друк!$C$15-друк!$C$18)/2)</f>
        <v>327.7875419240578</v>
      </c>
      <c r="O35" s="76">
        <f t="shared" si="3"/>
        <v>947.359226572277</v>
      </c>
    </row>
    <row r="36" spans="1:15" ht="24.75" customHeight="1">
      <c r="A36" s="76">
        <f t="shared" si="9"/>
        <v>38</v>
      </c>
      <c r="B36" s="76">
        <f t="shared" si="4"/>
        <v>4.7652</v>
      </c>
      <c r="C36" s="76">
        <f t="shared" si="10"/>
        <v>242.08716339442364</v>
      </c>
      <c r="D36" s="76">
        <f>D35-друк!$C$42</f>
        <v>440.06344266965914</v>
      </c>
      <c r="E36" s="76">
        <f>E35-друк!$C$42</f>
        <v>242.08720519445046</v>
      </c>
      <c r="F36" s="76">
        <f t="shared" si="5"/>
        <v>27.597936626964295</v>
      </c>
      <c r="G36" s="76">
        <f t="shared" si="0"/>
        <v>32.36313662696429</v>
      </c>
      <c r="H36" s="76">
        <f t="shared" si="6"/>
        <v>0.44006340281159373</v>
      </c>
      <c r="I36" s="76">
        <f t="shared" si="7"/>
        <v>2.383209533294304</v>
      </c>
      <c r="J36" s="76">
        <f t="shared" si="8"/>
        <v>0.05128979612629316</v>
      </c>
      <c r="K36" s="76">
        <f t="shared" si="1"/>
        <v>630.9858699238166</v>
      </c>
      <c r="L36" s="76">
        <f>0.001*414/(F36-друк!$C$33/1000)</f>
        <v>0.01949705546767344</v>
      </c>
      <c r="M36" s="76">
        <f t="shared" si="2"/>
        <v>0.6561161188125895</v>
      </c>
      <c r="N36" s="76">
        <f>100*F36*C36/((друк!$C$15-друк!$C$18)/2)</f>
        <v>341.5389169679503</v>
      </c>
      <c r="O36" s="76">
        <f t="shared" si="3"/>
        <v>1048.7215918246432</v>
      </c>
    </row>
    <row r="37" spans="1:15" ht="24.75" customHeight="1">
      <c r="A37" s="76">
        <f t="shared" si="9"/>
        <v>40</v>
      </c>
      <c r="B37" s="76">
        <f t="shared" si="4"/>
        <v>5.28</v>
      </c>
      <c r="C37" s="76">
        <f t="shared" si="10"/>
        <v>240.51197427540134</v>
      </c>
      <c r="D37" s="76">
        <f>D36-друк!$C$42</f>
        <v>438.48825575063995</v>
      </c>
      <c r="E37" s="76">
        <f>E36-друк!$C$42</f>
        <v>240.51201827543127</v>
      </c>
      <c r="F37" s="76">
        <f t="shared" si="5"/>
        <v>28.86143691304816</v>
      </c>
      <c r="G37" s="76">
        <f t="shared" si="0"/>
        <v>34.14143691304816</v>
      </c>
      <c r="H37" s="76">
        <f t="shared" si="6"/>
        <v>0.4384882176374845</v>
      </c>
      <c r="I37" s="76">
        <f t="shared" si="7"/>
        <v>2.632913108574725</v>
      </c>
      <c r="J37" s="76">
        <f t="shared" si="8"/>
        <v>0.05434172918446674</v>
      </c>
      <c r="K37" s="76">
        <f t="shared" si="1"/>
        <v>628.2729207448056</v>
      </c>
      <c r="L37" s="76">
        <f>0.001*414/(F37-друк!$C$33/1000)</f>
        <v>0.018402064398897414</v>
      </c>
      <c r="M37" s="76">
        <f t="shared" si="2"/>
        <v>0.6589492978771246</v>
      </c>
      <c r="N37" s="76">
        <f>100*F37*C37/((друк!$C$15-друк!$C$18)/2)</f>
        <v>354.85136063402774</v>
      </c>
      <c r="O37" s="76">
        <f t="shared" si="3"/>
        <v>1154.4574765219263</v>
      </c>
    </row>
    <row r="38" spans="1:15" ht="24.75" customHeight="1">
      <c r="A38" s="76">
        <f t="shared" si="9"/>
        <v>42</v>
      </c>
      <c r="B38" s="76">
        <f t="shared" si="4"/>
        <v>5.8212</v>
      </c>
      <c r="C38" s="76">
        <f t="shared" si="10"/>
        <v>238.93678515637885</v>
      </c>
      <c r="D38" s="76">
        <f>D37-друк!$C$42</f>
        <v>436.91306883162076</v>
      </c>
      <c r="E38" s="76">
        <f>E37-друк!$C$42</f>
        <v>238.93683135641209</v>
      </c>
      <c r="F38" s="76">
        <f t="shared" si="5"/>
        <v>30.106034929703736</v>
      </c>
      <c r="G38" s="76">
        <f t="shared" si="0"/>
        <v>35.92723492970374</v>
      </c>
      <c r="H38" s="76">
        <f t="shared" si="6"/>
        <v>0.436913032294079</v>
      </c>
      <c r="I38" s="76">
        <f t="shared" si="7"/>
        <v>2.8941676439870343</v>
      </c>
      <c r="J38" s="76">
        <f t="shared" si="8"/>
        <v>0.05734800458701645</v>
      </c>
      <c r="K38" s="76">
        <f t="shared" si="1"/>
        <v>626.4775067315531</v>
      </c>
      <c r="L38" s="76">
        <f>0.001*414/(F38-друк!$C$33/1000)</f>
        <v>0.017437398340210068</v>
      </c>
      <c r="M38" s="76">
        <f t="shared" si="2"/>
        <v>0.6608377723885303</v>
      </c>
      <c r="N38" s="76">
        <f>100*F38*C38/((друк!$C$15-друк!$C$18)/2)</f>
        <v>367.72943917275296</v>
      </c>
      <c r="O38" s="76">
        <f t="shared" si="3"/>
        <v>1264.4534670475568</v>
      </c>
    </row>
    <row r="39" spans="1:15" ht="24.75" customHeight="1">
      <c r="A39" s="76">
        <f t="shared" si="9"/>
        <v>44</v>
      </c>
      <c r="B39" s="76">
        <f t="shared" si="4"/>
        <v>6.388800000000001</v>
      </c>
      <c r="C39" s="76">
        <f t="shared" si="10"/>
        <v>237.36159603735618</v>
      </c>
      <c r="D39" s="76">
        <f>D38-друк!$C$42</f>
        <v>435.3378819126016</v>
      </c>
      <c r="E39" s="76">
        <f>E38-друк!$C$42</f>
        <v>237.3616444373929</v>
      </c>
      <c r="F39" s="76">
        <f t="shared" si="5"/>
        <v>31.331730676931016</v>
      </c>
      <c r="G39" s="76">
        <f t="shared" si="0"/>
        <v>37.72053067693102</v>
      </c>
      <c r="H39" s="76">
        <f t="shared" si="6"/>
        <v>0.43533784680440407</v>
      </c>
      <c r="I39" s="76">
        <f t="shared" si="7"/>
        <v>3.1668380057532906</v>
      </c>
      <c r="J39" s="76">
        <f t="shared" si="8"/>
        <v>0.06030862233394224</v>
      </c>
      <c r="K39" s="76">
        <f t="shared" si="1"/>
        <v>625.4583377491872</v>
      </c>
      <c r="L39" s="76">
        <f>0.001*414/(F39-друк!$C$33/1000)</f>
        <v>0.016581376945783606</v>
      </c>
      <c r="M39" s="76">
        <f t="shared" si="2"/>
        <v>0.6619145912897185</v>
      </c>
      <c r="N39" s="76">
        <f>100*F39*C39/((друк!$C$15-друк!$C$18)/2)</f>
        <v>380.17771883458875</v>
      </c>
      <c r="O39" s="76">
        <f t="shared" si="3"/>
        <v>1378.5961497849648</v>
      </c>
    </row>
    <row r="40" spans="1:15" ht="24.75" customHeight="1">
      <c r="A40" s="76">
        <f t="shared" si="9"/>
        <v>46</v>
      </c>
      <c r="B40" s="76">
        <f t="shared" si="4"/>
        <v>6.9828</v>
      </c>
      <c r="C40" s="76">
        <f t="shared" si="10"/>
        <v>235.7864069183333</v>
      </c>
      <c r="D40" s="76">
        <f>D39-друк!$C$42</f>
        <v>433.7626949935824</v>
      </c>
      <c r="E40" s="76">
        <f>E39-друк!$C$42</f>
        <v>235.7864575183737</v>
      </c>
      <c r="F40" s="76">
        <f t="shared" si="5"/>
        <v>32.53852415473</v>
      </c>
      <c r="G40" s="76">
        <f t="shared" si="0"/>
        <v>39.521324154729996</v>
      </c>
      <c r="H40" s="76">
        <f t="shared" si="6"/>
        <v>0.4337626611874801</v>
      </c>
      <c r="I40" s="76">
        <f t="shared" si="7"/>
        <v>3.4507870971700916</v>
      </c>
      <c r="J40" s="76">
        <f t="shared" si="8"/>
        <v>0.06322358242524413</v>
      </c>
      <c r="K40" s="76">
        <f t="shared" si="1"/>
        <v>625.1041563717177</v>
      </c>
      <c r="L40" s="76">
        <f>0.001*414/(F40-друк!$C$33/1000)</f>
        <v>0.015816882904134782</v>
      </c>
      <c r="M40" s="76">
        <f t="shared" si="2"/>
        <v>0.6622896293042965</v>
      </c>
      <c r="N40" s="76">
        <f>100*F40*C40/((друк!$C$15-друк!$C$18)/2)</f>
        <v>392.200765869998</v>
      </c>
      <c r="O40" s="76">
        <f t="shared" si="3"/>
        <v>1496.77211111758</v>
      </c>
    </row>
    <row r="41" spans="1:15" ht="24.75" customHeight="1">
      <c r="A41" s="76">
        <f t="shared" si="9"/>
        <v>48</v>
      </c>
      <c r="B41" s="76">
        <f t="shared" si="4"/>
        <v>7.6032</v>
      </c>
      <c r="C41" s="76">
        <f t="shared" si="10"/>
        <v>234.21121779931028</v>
      </c>
      <c r="D41" s="76">
        <f>D40-друк!$C$42</f>
        <v>432.1875080745632</v>
      </c>
      <c r="E41" s="76">
        <f>E40-друк!$C$42</f>
        <v>234.21127059935452</v>
      </c>
      <c r="F41" s="76">
        <f t="shared" si="5"/>
        <v>33.72641536310068</v>
      </c>
      <c r="G41" s="76">
        <f t="shared" si="0"/>
        <v>41.32961536310068</v>
      </c>
      <c r="H41" s="76">
        <f t="shared" si="6"/>
        <v>0.432187475459156</v>
      </c>
      <c r="I41" s="76">
        <f t="shared" si="7"/>
        <v>3.74587582283736</v>
      </c>
      <c r="J41" s="76">
        <f t="shared" si="8"/>
        <v>0.0660928848609221</v>
      </c>
      <c r="K41" s="76">
        <f t="shared" si="1"/>
        <v>625.3262427577453</v>
      </c>
      <c r="L41" s="76">
        <f>0.001*414/(F41-друк!$C$33/1000)</f>
        <v>0.015130221688828981</v>
      </c>
      <c r="M41" s="76">
        <f t="shared" si="2"/>
        <v>0.6620544152668575</v>
      </c>
      <c r="N41" s="76">
        <f>100*F41*C41/((друк!$C$15-друк!$C$18)/2)</f>
        <v>403.80314652944355</v>
      </c>
      <c r="O41" s="76">
        <f t="shared" si="3"/>
        <v>1618.8679374288326</v>
      </c>
    </row>
    <row r="42" spans="1:15" ht="24.75" customHeight="1">
      <c r="A42" s="76">
        <f t="shared" si="9"/>
        <v>50</v>
      </c>
      <c r="B42" s="76">
        <f t="shared" si="4"/>
        <v>8.25</v>
      </c>
      <c r="C42" s="76">
        <f t="shared" si="10"/>
        <v>232.63602868028698</v>
      </c>
      <c r="D42" s="76">
        <f>D41-друк!$C$42</f>
        <v>430.612321155544</v>
      </c>
      <c r="E42" s="76">
        <f>E41-друк!$C$42</f>
        <v>232.63608368033533</v>
      </c>
      <c r="F42" s="76">
        <f t="shared" si="5"/>
        <v>34.89540430204305</v>
      </c>
      <c r="G42" s="76">
        <f t="shared" si="0"/>
        <v>43.14540430204305</v>
      </c>
      <c r="H42" s="76">
        <f t="shared" si="6"/>
        <v>0.4306122896327433</v>
      </c>
      <c r="I42" s="76">
        <f t="shared" si="7"/>
        <v>4.051963052102018</v>
      </c>
      <c r="J42" s="76">
        <f t="shared" si="8"/>
        <v>0.06891652964097614</v>
      </c>
      <c r="K42" s="76">
        <f t="shared" si="1"/>
        <v>626.0530605184422</v>
      </c>
      <c r="L42" s="76">
        <f>0.001*414/(F42-друк!$C$33/1000)</f>
        <v>0.014510306964229723</v>
      </c>
      <c r="M42" s="76">
        <f t="shared" si="2"/>
        <v>0.6612858016494026</v>
      </c>
      <c r="N42" s="76">
        <f>100*F42*C42/((друк!$C$15-друк!$C$18)/2)</f>
        <v>414.98942706338806</v>
      </c>
      <c r="O42" s="76">
        <f t="shared" si="3"/>
        <v>1744.7702151021524</v>
      </c>
    </row>
    <row r="43" spans="1:15" ht="24.75" customHeight="1">
      <c r="A43" s="76">
        <f t="shared" si="9"/>
        <v>52</v>
      </c>
      <c r="B43" s="76">
        <f t="shared" si="4"/>
        <v>8.923200000000001</v>
      </c>
      <c r="C43" s="76">
        <f t="shared" si="10"/>
        <v>231.0608395612635</v>
      </c>
      <c r="D43" s="76">
        <f>D42-друк!$C$42</f>
        <v>429.0371342365248</v>
      </c>
      <c r="E43" s="76">
        <f>E42-друк!$C$42</f>
        <v>231.06089676131614</v>
      </c>
      <c r="F43" s="76">
        <f t="shared" si="5"/>
        <v>36.04549097155711</v>
      </c>
      <c r="G43" s="76">
        <f t="shared" si="0"/>
        <v>44.96869097155711</v>
      </c>
      <c r="H43" s="76">
        <f t="shared" si="6"/>
        <v>0.42903710371950426</v>
      </c>
      <c r="I43" s="76">
        <f t="shared" si="7"/>
        <v>4.3689055816963736</v>
      </c>
      <c r="J43" s="76">
        <f t="shared" si="8"/>
        <v>0.07169451676540622</v>
      </c>
      <c r="K43" s="76">
        <f t="shared" si="1"/>
        <v>627.226362633847</v>
      </c>
      <c r="L43" s="76">
        <f>0.001*414/(F43-друк!$C$33/1000)</f>
        <v>0.013948068068749665</v>
      </c>
      <c r="M43" s="76">
        <f t="shared" si="2"/>
        <v>0.660048787269611</v>
      </c>
      <c r="N43" s="76">
        <f>100*F43*C43/((друк!$C$15-друк!$C$18)/2)</f>
        <v>425.76417372229446</v>
      </c>
      <c r="O43" s="76">
        <f t="shared" si="3"/>
        <v>1874.3655305209695</v>
      </c>
    </row>
    <row r="44" spans="1:15" ht="24.75" customHeight="1">
      <c r="A44" s="76">
        <f t="shared" si="9"/>
        <v>54</v>
      </c>
      <c r="B44" s="76">
        <f t="shared" si="4"/>
        <v>9.6228</v>
      </c>
      <c r="C44" s="76">
        <f t="shared" si="10"/>
        <v>229.48565044223977</v>
      </c>
      <c r="D44" s="76">
        <f>D43-друк!$C$42</f>
        <v>427.46194731750563</v>
      </c>
      <c r="E44" s="76">
        <f>E43-друк!$C$42</f>
        <v>229.48570984229696</v>
      </c>
      <c r="F44" s="76">
        <f t="shared" si="5"/>
        <v>37.176675371642844</v>
      </c>
      <c r="G44" s="76">
        <f t="shared" si="0"/>
        <v>46.79947537164284</v>
      </c>
      <c r="H44" s="76">
        <f t="shared" si="6"/>
        <v>0.4274619177290312</v>
      </c>
      <c r="I44" s="76">
        <f t="shared" si="7"/>
        <v>4.696558097550447</v>
      </c>
      <c r="J44" s="76">
        <f t="shared" si="8"/>
        <v>0.07442684623421235</v>
      </c>
      <c r="K44" s="76">
        <f t="shared" si="1"/>
        <v>628.7983132372761</v>
      </c>
      <c r="L44" s="76">
        <f>0.001*414/(F44-друк!$C$33/1000)</f>
        <v>0.013436012011756081</v>
      </c>
      <c r="M44" s="76">
        <f t="shared" si="2"/>
        <v>0.6583987127264728</v>
      </c>
      <c r="N44" s="76">
        <f>100*F44*C44/((друк!$C$15-друк!$C$18)/2)</f>
        <v>436.1319527566255</v>
      </c>
      <c r="O44" s="76">
        <f t="shared" si="3"/>
        <v>2007.5404700687136</v>
      </c>
    </row>
    <row r="45" spans="1:15" ht="24.75" customHeight="1">
      <c r="A45" s="76">
        <f t="shared" si="9"/>
        <v>56</v>
      </c>
      <c r="B45" s="76">
        <f t="shared" si="4"/>
        <v>10.3488</v>
      </c>
      <c r="C45" s="76">
        <f t="shared" si="10"/>
        <v>227.91046132321583</v>
      </c>
      <c r="D45" s="76">
        <f>D44-друк!$C$42</f>
        <v>425.88676039848644</v>
      </c>
      <c r="E45" s="76">
        <f>E44-друк!$C$42</f>
        <v>227.91052292327777</v>
      </c>
      <c r="F45" s="76">
        <f t="shared" si="5"/>
        <v>38.28895750230026</v>
      </c>
      <c r="G45" s="76">
        <f t="shared" si="0"/>
        <v>48.63775750230026</v>
      </c>
      <c r="H45" s="76">
        <f t="shared" si="6"/>
        <v>0.4258867316695445</v>
      </c>
      <c r="I45" s="76">
        <f t="shared" si="7"/>
        <v>5.034773135756852</v>
      </c>
      <c r="J45" s="76">
        <f t="shared" si="8"/>
        <v>0.07711351804739452</v>
      </c>
      <c r="K45" s="76">
        <f t="shared" si="1"/>
        <v>630.7293290964516</v>
      </c>
      <c r="L45" s="76">
        <f>0.001*414/(F45-друк!$C$33/1000)</f>
        <v>0.01296789493361453</v>
      </c>
      <c r="M45" s="76">
        <f t="shared" si="2"/>
        <v>0.6563829853815009</v>
      </c>
      <c r="N45" s="76">
        <f>100*F45*C45/((друк!$C$15-друк!$C$18)/2)</f>
        <v>446.0973304168441</v>
      </c>
      <c r="O45" s="76">
        <f t="shared" si="3"/>
        <v>2144.1816201288148</v>
      </c>
    </row>
    <row r="46" spans="1:15" ht="24.75" customHeight="1">
      <c r="A46" s="76">
        <f t="shared" si="9"/>
        <v>58</v>
      </c>
      <c r="B46" s="76">
        <f t="shared" si="4"/>
        <v>11.1012</v>
      </c>
      <c r="C46" s="76">
        <f t="shared" si="10"/>
        <v>226.3352722041917</v>
      </c>
      <c r="D46" s="76">
        <f>D45-друк!$C$42</f>
        <v>424.31157347946726</v>
      </c>
      <c r="E46" s="76">
        <f>E45-друк!$C$42</f>
        <v>226.33533600425858</v>
      </c>
      <c r="F46" s="76">
        <f t="shared" si="5"/>
        <v>39.38233736352936</v>
      </c>
      <c r="G46" s="76">
        <f t="shared" si="0"/>
        <v>50.48353736352936</v>
      </c>
      <c r="H46" s="76">
        <f t="shared" si="6"/>
        <v>0.42431154554812933</v>
      </c>
      <c r="I46" s="76">
        <f t="shared" si="7"/>
        <v>5.383401042666207</v>
      </c>
      <c r="J46" s="76">
        <f t="shared" si="8"/>
        <v>0.07975453220495272</v>
      </c>
      <c r="K46" s="76">
        <f t="shared" si="1"/>
        <v>632.9864393636849</v>
      </c>
      <c r="L46" s="76">
        <f>0.001*414/(F46-друк!$C$33/1000)</f>
        <v>0.01253847238963431</v>
      </c>
      <c r="M46" s="76">
        <f t="shared" si="2"/>
        <v>0.6540424474435458</v>
      </c>
      <c r="N46" s="76">
        <f>100*F46*C46/((друк!$C$15-друк!$C$18)/2)</f>
        <v>455.66487295341307</v>
      </c>
      <c r="O46" s="76">
        <f t="shared" si="3"/>
        <v>2284.175567084703</v>
      </c>
    </row>
    <row r="47" spans="1:15" ht="24.75" customHeight="1">
      <c r="A47" s="76">
        <f t="shared" si="9"/>
        <v>60</v>
      </c>
      <c r="B47" s="76">
        <f t="shared" si="4"/>
        <v>11.88</v>
      </c>
      <c r="C47" s="76">
        <f t="shared" si="10"/>
        <v>224.7600830851673</v>
      </c>
      <c r="D47" s="76">
        <f>D46-друк!$C$42</f>
        <v>422.73638656044807</v>
      </c>
      <c r="E47" s="76">
        <f>E46-друк!$C$42</f>
        <v>224.7601490852394</v>
      </c>
      <c r="F47" s="76">
        <f t="shared" si="5"/>
        <v>40.45681495533012</v>
      </c>
      <c r="G47" s="76">
        <f t="shared" si="0"/>
        <v>52.33681495533012</v>
      </c>
      <c r="H47" s="76">
        <f t="shared" si="6"/>
        <v>0.4227363593709246</v>
      </c>
      <c r="I47" s="76">
        <f t="shared" si="7"/>
        <v>5.742289934090395</v>
      </c>
      <c r="J47" s="76">
        <f t="shared" si="8"/>
        <v>0.08234988870688692</v>
      </c>
      <c r="K47" s="76">
        <f t="shared" si="1"/>
        <v>635.5420241260532</v>
      </c>
      <c r="L47" s="76">
        <f>0.001*414/(F47-друк!$C$33/1000)</f>
        <v>0.01214330724306577</v>
      </c>
      <c r="M47" s="76">
        <f t="shared" si="2"/>
        <v>0.651412470433092</v>
      </c>
      <c r="N47" s="76">
        <f>100*F47*C47/((друк!$C$15-друк!$C$18)/2)</f>
        <v>464.8391466167952</v>
      </c>
      <c r="O47" s="76">
        <f t="shared" si="3"/>
        <v>2427.408897319807</v>
      </c>
    </row>
    <row r="48" spans="1:15" ht="24.75" customHeight="1">
      <c r="A48" s="76">
        <f t="shared" si="9"/>
        <v>62</v>
      </c>
      <c r="B48" s="76">
        <f t="shared" si="4"/>
        <v>12.6852</v>
      </c>
      <c r="C48" s="76">
        <f t="shared" si="10"/>
        <v>223.1848939661427</v>
      </c>
      <c r="D48" s="76">
        <f>D47-друк!$C$42</f>
        <v>421.1611996414289</v>
      </c>
      <c r="E48" s="76">
        <f>E47-друк!$C$42</f>
        <v>223.1849621662202</v>
      </c>
      <c r="F48" s="76">
        <f t="shared" si="5"/>
        <v>41.51239027770254</v>
      </c>
      <c r="G48" s="76">
        <f t="shared" si="0"/>
        <v>54.197590277702545</v>
      </c>
      <c r="H48" s="76">
        <f t="shared" si="6"/>
        <v>0.4211611731432758</v>
      </c>
      <c r="I48" s="76">
        <f t="shared" si="7"/>
        <v>6.111285653590331</v>
      </c>
      <c r="J48" s="76">
        <f t="shared" si="8"/>
        <v>0.08489958755319714</v>
      </c>
      <c r="K48" s="76">
        <f t="shared" si="1"/>
        <v>638.3728335987844</v>
      </c>
      <c r="L48" s="76">
        <f>0.001*414/(F48-друк!$C$33/1000)</f>
        <v>0.01177862023621035</v>
      </c>
      <c r="M48" s="76">
        <f t="shared" si="2"/>
        <v>0.6485238378113657</v>
      </c>
      <c r="N48" s="76">
        <f>100*F48*C48/((друк!$C$15-друк!$C$18)/2)</f>
        <v>473.6247176574533</v>
      </c>
      <c r="O48" s="76">
        <f t="shared" si="3"/>
        <v>2573.768197217558</v>
      </c>
    </row>
    <row r="49" spans="1:15" ht="18">
      <c r="A49" s="76">
        <f t="shared" si="9"/>
        <v>64</v>
      </c>
      <c r="B49" s="76">
        <f t="shared" si="4"/>
        <v>13.5168</v>
      </c>
      <c r="C49" s="76">
        <f t="shared" si="10"/>
        <v>221.60970484711785</v>
      </c>
      <c r="D49" s="76">
        <f>D48-друк!$C$42</f>
        <v>419.5860127224097</v>
      </c>
      <c r="E49" s="76">
        <f>E48-друк!$C$42</f>
        <v>221.60977524720101</v>
      </c>
      <c r="F49" s="76">
        <f t="shared" si="5"/>
        <v>42.549063330646625</v>
      </c>
      <c r="G49" s="76">
        <f t="shared" si="0"/>
        <v>56.06586333064662</v>
      </c>
      <c r="H49" s="76">
        <f t="shared" si="6"/>
        <v>0.4195859868698585</v>
      </c>
      <c r="I49" s="76">
        <f t="shared" si="7"/>
        <v>6.490231729824153</v>
      </c>
      <c r="J49" s="76">
        <f t="shared" si="8"/>
        <v>0.08740362874388333</v>
      </c>
      <c r="K49" s="76">
        <f t="shared" si="1"/>
        <v>641.4592178424882</v>
      </c>
      <c r="L49" s="76">
        <f>0.001*414/(F49-друк!$C$33/1000)</f>
        <v>0.011441172573398242</v>
      </c>
      <c r="M49" s="76">
        <f t="shared" si="2"/>
        <v>0.6454034621132511</v>
      </c>
      <c r="N49" s="76">
        <f>100*F49*C49/((друк!$C$15-друк!$C$18)/2)</f>
        <v>482.02615232585015</v>
      </c>
      <c r="O49" s="76">
        <f t="shared" si="3"/>
        <v>2723.140053161384</v>
      </c>
    </row>
    <row r="50" spans="1:15" ht="18">
      <c r="A50" s="76">
        <f t="shared" si="9"/>
        <v>66</v>
      </c>
      <c r="B50" s="76">
        <f t="shared" si="4"/>
        <v>14.3748</v>
      </c>
      <c r="C50" s="76">
        <f t="shared" si="10"/>
        <v>220.03451572809274</v>
      </c>
      <c r="D50" s="76">
        <f>D49-друк!$C$42</f>
        <v>418.0108258033905</v>
      </c>
      <c r="E50" s="76">
        <f>E49-друк!$C$42</f>
        <v>220.03458832818183</v>
      </c>
      <c r="F50" s="76">
        <f t="shared" si="5"/>
        <v>43.56683411416236</v>
      </c>
      <c r="G50" s="76">
        <f aca="true" t="shared" si="11" ref="G50:G81">F50+B50</f>
        <v>57.94163411416236</v>
      </c>
      <c r="H50" s="76">
        <f t="shared" si="6"/>
        <v>0.41801080055478024</v>
      </c>
      <c r="I50" s="76">
        <f t="shared" si="7"/>
        <v>6.878969332931073</v>
      </c>
      <c r="J50" s="76">
        <f t="shared" si="8"/>
        <v>0.08986201227894548</v>
      </c>
      <c r="K50" s="76">
        <f aca="true" t="shared" si="12" ref="K50:K81">G50/J50</f>
        <v>644.7845162236367</v>
      </c>
      <c r="L50" s="76">
        <f>0.001*414/(F50-друк!$C$33/1000)</f>
        <v>0.011128172791143899</v>
      </c>
      <c r="M50" s="76">
        <f aca="true" t="shared" si="13" ref="M50:M81">414*J50/G50</f>
        <v>0.6420749716893147</v>
      </c>
      <c r="N50" s="76">
        <f>100*F50*C50/((друк!$C$15-друк!$C$18)/2)</f>
        <v>490.04801687244856</v>
      </c>
      <c r="O50" s="76">
        <f aca="true" t="shared" si="14" ref="O50:O81">F50*A50</f>
        <v>2875.4110515347156</v>
      </c>
    </row>
    <row r="51" spans="1:15" ht="18">
      <c r="A51" s="76">
        <f t="shared" si="9"/>
        <v>68</v>
      </c>
      <c r="B51" s="76">
        <f t="shared" si="4"/>
        <v>15.259200000000002</v>
      </c>
      <c r="C51" s="76">
        <f t="shared" si="10"/>
        <v>218.4593266090674</v>
      </c>
      <c r="D51" s="76">
        <f>D50-друк!$C$42</f>
        <v>416.4356388843713</v>
      </c>
      <c r="E51" s="76">
        <f>E50-друк!$C$42</f>
        <v>218.45940140916264</v>
      </c>
      <c r="F51" s="76">
        <f t="shared" si="5"/>
        <v>44.56570262824975</v>
      </c>
      <c r="G51" s="76">
        <f t="shared" si="11"/>
        <v>59.82490262824975</v>
      </c>
      <c r="H51" s="76">
        <f aca="true" t="shared" si="15" ref="H51:H87">0.001*(SQRT(D51^2-(A51*$J$8/1000)^2))-(A51*$J$7/1000)/(A51*(F51+($J$7/1000)))</f>
        <v>0.41643561420166386</v>
      </c>
      <c r="I51" s="76">
        <f aca="true" t="shared" si="16" ref="I51:I87">(A51*(F51+$J$7))/D51</f>
        <v>7.277337229925348</v>
      </c>
      <c r="J51" s="76">
        <f t="shared" si="8"/>
        <v>0.09227473815838363</v>
      </c>
      <c r="K51" s="76">
        <f t="shared" si="12"/>
        <v>648.334569376552</v>
      </c>
      <c r="L51" s="76">
        <f>0.001*414/(F51-друк!$C$33/1000)</f>
        <v>0.010837202250127924</v>
      </c>
      <c r="M51" s="76">
        <f t="shared" si="13"/>
        <v>0.6385591939021675</v>
      </c>
      <c r="N51" s="76">
        <f>100*F51*C51/((друк!$C$15-друк!$C$18)/2)</f>
        <v>497.69487754771177</v>
      </c>
      <c r="O51" s="76">
        <f t="shared" si="14"/>
        <v>3030.467778720983</v>
      </c>
    </row>
    <row r="52" spans="1:15" ht="18">
      <c r="A52" s="76">
        <f t="shared" si="9"/>
        <v>70</v>
      </c>
      <c r="B52" s="76">
        <f t="shared" si="4"/>
        <v>16.17</v>
      </c>
      <c r="C52" s="76">
        <f t="shared" si="10"/>
        <v>216.88413749004178</v>
      </c>
      <c r="D52" s="76">
        <f>D51-друк!$C$42</f>
        <v>414.8604519653521</v>
      </c>
      <c r="E52" s="76">
        <f>E51-друк!$C$42</f>
        <v>216.88421449014345</v>
      </c>
      <c r="F52" s="76">
        <f t="shared" si="5"/>
        <v>45.54566887290878</v>
      </c>
      <c r="G52" s="76">
        <f t="shared" si="11"/>
        <v>61.71566887290878</v>
      </c>
      <c r="H52" s="76">
        <f t="shared" si="15"/>
        <v>0.4148604278137166</v>
      </c>
      <c r="I52" s="76">
        <f t="shared" si="16"/>
        <v>7.685171739074057</v>
      </c>
      <c r="J52" s="76">
        <f t="shared" si="8"/>
        <v>0.0946418063821977</v>
      </c>
      <c r="K52" s="76">
        <f t="shared" si="12"/>
        <v>652.0973260345294</v>
      </c>
      <c r="L52" s="76">
        <f>0.001*414/(F52-друк!$C$33/1000)</f>
        <v>0.010566155045283476</v>
      </c>
      <c r="M52" s="76">
        <f t="shared" si="13"/>
        <v>0.6348745554863358</v>
      </c>
      <c r="N52" s="76">
        <f>100*F52*C52/((друк!$C$15-друк!$C$18)/2)</f>
        <v>504.9713006021019</v>
      </c>
      <c r="O52" s="76">
        <f t="shared" si="14"/>
        <v>3188.1968211036146</v>
      </c>
    </row>
    <row r="53" spans="1:15" ht="18">
      <c r="A53" s="76">
        <f t="shared" si="9"/>
        <v>72</v>
      </c>
      <c r="B53" s="76">
        <f t="shared" si="4"/>
        <v>17.107200000000002</v>
      </c>
      <c r="C53" s="76">
        <f t="shared" si="10"/>
        <v>215.30894837101593</v>
      </c>
      <c r="D53" s="76">
        <f>D52-друк!$C$42</f>
        <v>413.28526504633294</v>
      </c>
      <c r="E53" s="76">
        <f>E52-друк!$C$42</f>
        <v>215.30902757112426</v>
      </c>
      <c r="F53" s="76">
        <f t="shared" si="5"/>
        <v>46.50673284813944</v>
      </c>
      <c r="G53" s="76">
        <f t="shared" si="11"/>
        <v>63.61393284813944</v>
      </c>
      <c r="H53" s="76">
        <f t="shared" si="15"/>
        <v>0.4132852413937878</v>
      </c>
      <c r="I53" s="76">
        <f t="shared" si="16"/>
        <v>8.102306683231584</v>
      </c>
      <c r="J53" s="76">
        <f t="shared" si="8"/>
        <v>0.09696321695038772</v>
      </c>
      <c r="K53" s="76">
        <f t="shared" si="12"/>
        <v>656.0625240052442</v>
      </c>
      <c r="L53" s="76">
        <f>0.001*414/(F53-друк!$C$33/1000)</f>
        <v>0.010313189180920647</v>
      </c>
      <c r="M53" s="76">
        <f t="shared" si="13"/>
        <v>0.6310374161787828</v>
      </c>
      <c r="N53" s="76">
        <f>100*F53*C53/((друк!$C$15-друк!$C$18)/2)</f>
        <v>511.88185228608234</v>
      </c>
      <c r="O53" s="76">
        <f t="shared" si="14"/>
        <v>3348.48476506604</v>
      </c>
    </row>
    <row r="54" spans="1:15" ht="18">
      <c r="A54" s="76">
        <f t="shared" si="9"/>
        <v>74</v>
      </c>
      <c r="B54" s="76">
        <f t="shared" si="4"/>
        <v>18.070800000000002</v>
      </c>
      <c r="C54" s="76">
        <f t="shared" si="10"/>
        <v>213.73375925198977</v>
      </c>
      <c r="D54" s="76">
        <f>D53-друк!$C$42</f>
        <v>411.71007812731375</v>
      </c>
      <c r="E54" s="76">
        <f>E53-друк!$C$42</f>
        <v>213.73384065210507</v>
      </c>
      <c r="F54" s="76">
        <f t="shared" si="5"/>
        <v>47.44889455394173</v>
      </c>
      <c r="G54" s="76">
        <f t="shared" si="11"/>
        <v>65.51969455394173</v>
      </c>
      <c r="H54" s="76">
        <f t="shared" si="15"/>
        <v>0.4117100549444172</v>
      </c>
      <c r="I54" s="76">
        <f t="shared" si="16"/>
        <v>8.528573342102845</v>
      </c>
      <c r="J54" s="76">
        <f t="shared" si="8"/>
        <v>0.09923896986295362</v>
      </c>
      <c r="K54" s="76">
        <f t="shared" si="12"/>
        <v>660.2214295898344</v>
      </c>
      <c r="L54" s="76">
        <f>0.001*414/(F54-друк!$C$33/1000)</f>
        <v>0.010076686622009211</v>
      </c>
      <c r="M54" s="76">
        <f t="shared" si="13"/>
        <v>0.6270623482445873</v>
      </c>
      <c r="N54" s="76">
        <f>100*F54*C54/((друк!$C$15-друк!$C$18)/2)</f>
        <v>518.4310988501154</v>
      </c>
      <c r="O54" s="76">
        <f t="shared" si="14"/>
        <v>3511.218196991688</v>
      </c>
    </row>
    <row r="55" spans="1:15" ht="18">
      <c r="A55" s="76">
        <f t="shared" si="9"/>
        <v>76</v>
      </c>
      <c r="B55" s="76">
        <f t="shared" si="4"/>
        <v>19.0608</v>
      </c>
      <c r="C55" s="76">
        <f t="shared" si="10"/>
        <v>212.15857013296335</v>
      </c>
      <c r="D55" s="76">
        <f>D54-друк!$C$42</f>
        <v>410.13489120829456</v>
      </c>
      <c r="E55" s="76">
        <f>E54-друк!$C$42</f>
        <v>212.15865373308588</v>
      </c>
      <c r="F55" s="76">
        <f t="shared" si="5"/>
        <v>48.372153990315645</v>
      </c>
      <c r="G55" s="76">
        <f t="shared" si="11"/>
        <v>67.43295399031564</v>
      </c>
      <c r="H55" s="76">
        <f t="shared" si="15"/>
        <v>0.4101348684678758</v>
      </c>
      <c r="I55" s="76">
        <f t="shared" si="16"/>
        <v>8.963800403406493</v>
      </c>
      <c r="J55" s="76">
        <f t="shared" si="8"/>
        <v>0.10146906511989545</v>
      </c>
      <c r="K55" s="76">
        <f t="shared" si="12"/>
        <v>664.5666234397363</v>
      </c>
      <c r="L55" s="76">
        <f>0.001*414/(F55-друк!$C$33/1000)</f>
        <v>0.009855220394692747</v>
      </c>
      <c r="M55" s="76">
        <f t="shared" si="13"/>
        <v>0.6229623718644998</v>
      </c>
      <c r="N55" s="76">
        <f>100*F55*C55/((друк!$C$15-друк!$C$18)/2)</f>
        <v>524.6236065446644</v>
      </c>
      <c r="O55" s="76">
        <f t="shared" si="14"/>
        <v>3676.283703263989</v>
      </c>
    </row>
    <row r="56" spans="1:15" ht="18">
      <c r="A56" s="76">
        <f t="shared" si="9"/>
        <v>78</v>
      </c>
      <c r="B56" s="76">
        <f t="shared" si="4"/>
        <v>20.0772</v>
      </c>
      <c r="C56" s="76">
        <f t="shared" si="10"/>
        <v>210.5833810139367</v>
      </c>
      <c r="D56" s="76">
        <f>D55-друк!$C$42</f>
        <v>408.5597042892754</v>
      </c>
      <c r="E56" s="76">
        <f>E55-друк!$C$42</f>
        <v>210.5834668140667</v>
      </c>
      <c r="F56" s="76">
        <f t="shared" si="5"/>
        <v>49.27651115726118</v>
      </c>
      <c r="G56" s="76">
        <f t="shared" si="11"/>
        <v>69.35371115726119</v>
      </c>
      <c r="H56" s="76">
        <f t="shared" si="15"/>
        <v>0.4085596819661999</v>
      </c>
      <c r="I56" s="76">
        <f t="shared" si="16"/>
        <v>9.407813912908365</v>
      </c>
      <c r="J56" s="76">
        <f t="shared" si="8"/>
        <v>0.10365350272121317</v>
      </c>
      <c r="K56" s="76">
        <f t="shared" si="12"/>
        <v>669.0918235903246</v>
      </c>
      <c r="L56" s="76">
        <f>0.001*414/(F56-друк!$C$33/1000)</f>
        <v>0.009647527326593136</v>
      </c>
      <c r="M56" s="76">
        <f t="shared" si="13"/>
        <v>0.6187491543066387</v>
      </c>
      <c r="N56" s="76">
        <f>100*F56*C56/((друк!$C$15-друк!$C$18)/2)</f>
        <v>530.4639416201921</v>
      </c>
      <c r="O56" s="76">
        <f t="shared" si="14"/>
        <v>3843.567870266372</v>
      </c>
    </row>
    <row r="57" spans="1:15" ht="18">
      <c r="A57" s="76">
        <f t="shared" si="9"/>
        <v>80</v>
      </c>
      <c r="B57" s="76">
        <f t="shared" si="4"/>
        <v>21.12</v>
      </c>
      <c r="C57" s="76">
        <f t="shared" si="10"/>
        <v>209.00819189490971</v>
      </c>
      <c r="D57" s="76">
        <f>D56-друк!$C$42</f>
        <v>406.9845173702562</v>
      </c>
      <c r="E57" s="76">
        <f>E56-друк!$C$42</f>
        <v>209.0082798950475</v>
      </c>
      <c r="F57" s="76">
        <f t="shared" si="5"/>
        <v>50.161966054778325</v>
      </c>
      <c r="G57" s="76">
        <f t="shared" si="11"/>
        <v>71.28196605477832</v>
      </c>
      <c r="H57" s="76">
        <f t="shared" si="15"/>
        <v>0.4069844954412209</v>
      </c>
      <c r="I57" s="76">
        <f t="shared" si="16"/>
        <v>9.86043722329461</v>
      </c>
      <c r="J57" s="76">
        <f t="shared" si="8"/>
        <v>0.10579228266690675</v>
      </c>
      <c r="K57" s="76">
        <f t="shared" si="12"/>
        <v>673.7917384693721</v>
      </c>
      <c r="L57" s="76">
        <f>0.001*414/(F57-друк!$C$33/1000)</f>
        <v>0.009452485330603548</v>
      </c>
      <c r="M57" s="76">
        <f t="shared" si="13"/>
        <v>0.614433179220138</v>
      </c>
      <c r="N57" s="76">
        <f>100*F57*C57/((друк!$C$15-друк!$C$18)/2)</f>
        <v>535.956670327161</v>
      </c>
      <c r="O57" s="76">
        <f t="shared" si="14"/>
        <v>4012.957284382266</v>
      </c>
    </row>
    <row r="58" spans="1:15" ht="18">
      <c r="A58" s="76">
        <f t="shared" si="9"/>
        <v>82</v>
      </c>
      <c r="B58" s="76">
        <f t="shared" si="4"/>
        <v>22.1892</v>
      </c>
      <c r="C58" s="76">
        <f t="shared" si="10"/>
        <v>207.43300277588247</v>
      </c>
      <c r="D58" s="76">
        <f>D57-друк!$C$42</f>
        <v>405.409330451237</v>
      </c>
      <c r="E58" s="76">
        <f>E57-друк!$C$42</f>
        <v>207.43309297602832</v>
      </c>
      <c r="F58" s="76">
        <f t="shared" si="5"/>
        <v>51.02851868286709</v>
      </c>
      <c r="G58" s="76">
        <f t="shared" si="11"/>
        <v>73.21771868286709</v>
      </c>
      <c r="H58" s="76">
        <f t="shared" si="15"/>
        <v>0.40540930889458965</v>
      </c>
      <c r="I58" s="76">
        <f t="shared" si="16"/>
        <v>10.321490941852922</v>
      </c>
      <c r="J58" s="76">
        <f t="shared" si="8"/>
        <v>0.10788540495697622</v>
      </c>
      <c r="K58" s="76">
        <f t="shared" si="12"/>
        <v>678.6619442367175</v>
      </c>
      <c r="L58" s="76">
        <f>0.001*414/(F58-друк!$C$33/1000)</f>
        <v>0.009269094372856009</v>
      </c>
      <c r="M58" s="76">
        <f t="shared" si="13"/>
        <v>0.6100238911519056</v>
      </c>
      <c r="N58" s="76">
        <f>100*F58*C58/((друк!$C$15-друк!$C$18)/2)</f>
        <v>541.1063589160343</v>
      </c>
      <c r="O58" s="76">
        <f t="shared" si="14"/>
        <v>4184.338531995101</v>
      </c>
    </row>
    <row r="59" spans="1:15" ht="18">
      <c r="A59" s="76">
        <f t="shared" si="9"/>
        <v>84</v>
      </c>
      <c r="B59" s="76">
        <f t="shared" si="4"/>
        <v>23.2848</v>
      </c>
      <c r="C59" s="76">
        <f t="shared" si="10"/>
        <v>205.8578136568549</v>
      </c>
      <c r="D59" s="76">
        <f>D58-друк!$C$42</f>
        <v>403.8341435322178</v>
      </c>
      <c r="E59" s="76">
        <f>E58-друк!$C$42</f>
        <v>205.85790605700913</v>
      </c>
      <c r="F59" s="76">
        <f t="shared" si="5"/>
        <v>51.87616904152743</v>
      </c>
      <c r="G59" s="76">
        <f t="shared" si="11"/>
        <v>75.16096904152744</v>
      </c>
      <c r="H59" s="76">
        <f t="shared" si="15"/>
        <v>0.40383412232779825</v>
      </c>
      <c r="I59" s="76">
        <f t="shared" si="16"/>
        <v>10.79079287692931</v>
      </c>
      <c r="J59" s="76">
        <f t="shared" si="8"/>
        <v>0.10993286959142151</v>
      </c>
      <c r="K59" s="76">
        <f t="shared" si="12"/>
        <v>683.6987820009798</v>
      </c>
      <c r="L59" s="76">
        <f>0.001*414/(F59-друк!$C$33/1000)</f>
        <v>0.009096460446421695</v>
      </c>
      <c r="M59" s="76">
        <f t="shared" si="13"/>
        <v>0.605529819416011</v>
      </c>
      <c r="N59" s="76">
        <f>100*F59*C59/((друк!$C$15-друк!$C$18)/2)</f>
        <v>545.9175736372744</v>
      </c>
      <c r="O59" s="76">
        <f t="shared" si="14"/>
        <v>4357.598199488304</v>
      </c>
    </row>
    <row r="60" spans="1:15" ht="18">
      <c r="A60" s="76">
        <f t="shared" si="9"/>
        <v>86</v>
      </c>
      <c r="B60" s="76">
        <f t="shared" si="4"/>
        <v>24.4068</v>
      </c>
      <c r="C60" s="76">
        <f t="shared" si="10"/>
        <v>204.28262453782702</v>
      </c>
      <c r="D60" s="76">
        <f>D59-друк!$C$42</f>
        <v>402.2589566131986</v>
      </c>
      <c r="E60" s="76">
        <f>E59-друк!$C$42</f>
        <v>204.28271913798994</v>
      </c>
      <c r="F60" s="76">
        <f t="shared" si="5"/>
        <v>52.70491713075937</v>
      </c>
      <c r="G60" s="76">
        <f t="shared" si="11"/>
        <v>77.11171713075937</v>
      </c>
      <c r="H60" s="76">
        <f t="shared" si="15"/>
        <v>0.40225893574219845</v>
      </c>
      <c r="I60" s="76">
        <f t="shared" si="16"/>
        <v>11.268157983126887</v>
      </c>
      <c r="J60" s="76">
        <f t="shared" si="8"/>
        <v>0.11193467657024261</v>
      </c>
      <c r="K60" s="76">
        <f t="shared" si="12"/>
        <v>688.8992713743116</v>
      </c>
      <c r="L60" s="76">
        <f>0.001*414/(F60-друк!$C$33/1000)</f>
        <v>0.008933782011443682</v>
      </c>
      <c r="M60" s="76">
        <f t="shared" si="13"/>
        <v>0.6009586846769274</v>
      </c>
      <c r="N60" s="76">
        <f>100*F60*C60/((друк!$C$15-друк!$C$18)/2)</f>
        <v>550.3948807413444</v>
      </c>
      <c r="O60" s="76">
        <f t="shared" si="14"/>
        <v>4532.6228732453055</v>
      </c>
    </row>
    <row r="61" spans="1:15" ht="18">
      <c r="A61" s="76">
        <f t="shared" si="9"/>
        <v>88</v>
      </c>
      <c r="B61" s="76">
        <f t="shared" si="4"/>
        <v>25.555200000000003</v>
      </c>
      <c r="C61" s="76">
        <f t="shared" si="10"/>
        <v>202.70743541879884</v>
      </c>
      <c r="D61" s="76">
        <f>D60-друк!$C$42</f>
        <v>400.68376969417943</v>
      </c>
      <c r="E61" s="76">
        <f>E60-друк!$C$42</f>
        <v>202.70753221897075</v>
      </c>
      <c r="F61" s="76">
        <f t="shared" si="5"/>
        <v>53.5147629505629</v>
      </c>
      <c r="G61" s="76">
        <f t="shared" si="11"/>
        <v>79.0699629505629</v>
      </c>
      <c r="H61" s="76">
        <f t="shared" si="15"/>
        <v>0.4006837491390173</v>
      </c>
      <c r="I61" s="76">
        <f t="shared" si="16"/>
        <v>11.753398305212027</v>
      </c>
      <c r="J61" s="76">
        <f t="shared" si="8"/>
        <v>0.11389082589343953</v>
      </c>
      <c r="K61" s="76">
        <f t="shared" si="12"/>
        <v>694.2610375355753</v>
      </c>
      <c r="L61" s="76">
        <f>0.001*414/(F61-друк!$C$33/1000)</f>
        <v>0.008780338470243749</v>
      </c>
      <c r="M61" s="76">
        <f t="shared" si="13"/>
        <v>0.5963174909967288</v>
      </c>
      <c r="N61" s="76">
        <f>100*F61*C61/((друк!$C$15-друк!$C$18)/2)</f>
        <v>554.5428464787072</v>
      </c>
      <c r="O61" s="76">
        <f t="shared" si="14"/>
        <v>4709.2991396495345</v>
      </c>
    </row>
    <row r="62" spans="1:15" ht="18">
      <c r="A62" s="76">
        <f t="shared" si="9"/>
        <v>90</v>
      </c>
      <c r="B62" s="76">
        <f t="shared" si="4"/>
        <v>26.73</v>
      </c>
      <c r="C62" s="76">
        <f t="shared" si="10"/>
        <v>201.13224629977034</v>
      </c>
      <c r="D62" s="76">
        <f>D61-друк!$C$42</f>
        <v>399.10858277516024</v>
      </c>
      <c r="E62" s="76">
        <f>E61-друк!$C$42</f>
        <v>201.13234529995157</v>
      </c>
      <c r="F62" s="76">
        <f t="shared" si="5"/>
        <v>54.305706500937994</v>
      </c>
      <c r="G62" s="76">
        <f t="shared" si="11"/>
        <v>81.03570650093799</v>
      </c>
      <c r="H62" s="76">
        <f t="shared" si="15"/>
        <v>0.3991085625193711</v>
      </c>
      <c r="I62" s="76">
        <f t="shared" si="16"/>
        <v>12.246322920692185</v>
      </c>
      <c r="J62" s="76">
        <f t="shared" si="8"/>
        <v>0.11580131756101224</v>
      </c>
      <c r="K62" s="76">
        <f t="shared" si="12"/>
        <v>699.7822495261568</v>
      </c>
      <c r="L62" s="76">
        <f>0.001*414/(F62-друк!$C$33/1000)</f>
        <v>0.00863548033011913</v>
      </c>
      <c r="M62" s="76">
        <f t="shared" si="13"/>
        <v>0.5916126056074323</v>
      </c>
      <c r="N62" s="76">
        <f>100*F62*C62/((друк!$C$15-друк!$C$18)/2)</f>
        <v>558.3660370998253</v>
      </c>
      <c r="O62" s="76">
        <f t="shared" si="14"/>
        <v>4887.51358508442</v>
      </c>
    </row>
    <row r="63" spans="1:15" ht="18">
      <c r="A63" s="76">
        <f t="shared" si="9"/>
        <v>92</v>
      </c>
      <c r="B63" s="76">
        <f t="shared" si="4"/>
        <v>27.9312</v>
      </c>
      <c r="C63" s="76">
        <f t="shared" si="10"/>
        <v>199.5570571807415</v>
      </c>
      <c r="D63" s="76">
        <f>D62-друк!$C$42</f>
        <v>397.53339585614106</v>
      </c>
      <c r="E63" s="76">
        <f>E62-друк!$C$42</f>
        <v>199.55715838093238</v>
      </c>
      <c r="F63" s="76">
        <f t="shared" si="5"/>
        <v>55.07774778188466</v>
      </c>
      <c r="G63" s="76">
        <f t="shared" si="11"/>
        <v>83.00894778188466</v>
      </c>
      <c r="H63" s="76">
        <f t="shared" si="15"/>
        <v>0.39753337588427773</v>
      </c>
      <c r="I63" s="76">
        <f t="shared" si="16"/>
        <v>12.746737881028544</v>
      </c>
      <c r="J63" s="76">
        <f t="shared" si="8"/>
        <v>0.1176661515729607</v>
      </c>
      <c r="K63" s="76">
        <f t="shared" si="12"/>
        <v>705.4615679379442</v>
      </c>
      <c r="L63" s="76">
        <f>0.001*414/(F63-друк!$C$33/1000)</f>
        <v>0.008498620772686143</v>
      </c>
      <c r="M63" s="76">
        <f t="shared" si="13"/>
        <v>0.5868498282764248</v>
      </c>
      <c r="N63" s="76">
        <f>100*F63*C63/((друк!$C$15-друк!$C$18)/2)</f>
        <v>561.8690188551619</v>
      </c>
      <c r="O63" s="76">
        <f t="shared" si="14"/>
        <v>5067.152795933389</v>
      </c>
    </row>
    <row r="64" spans="1:15" ht="18">
      <c r="A64" s="76">
        <f t="shared" si="9"/>
        <v>94</v>
      </c>
      <c r="B64" s="76">
        <f t="shared" si="4"/>
        <v>29.158800000000003</v>
      </c>
      <c r="C64" s="76">
        <f t="shared" si="10"/>
        <v>197.98186806171233</v>
      </c>
      <c r="D64" s="76">
        <f>D63-друк!$C$42</f>
        <v>395.95820893712187</v>
      </c>
      <c r="E64" s="76">
        <f>E63-друк!$C$42</f>
        <v>197.9819714619132</v>
      </c>
      <c r="F64" s="76">
        <f t="shared" si="5"/>
        <v>55.830886793402875</v>
      </c>
      <c r="G64" s="76">
        <f t="shared" si="11"/>
        <v>84.98968679340288</v>
      </c>
      <c r="H64" s="76">
        <f t="shared" si="15"/>
        <v>0.395958189234666</v>
      </c>
      <c r="I64" s="76">
        <f t="shared" si="16"/>
        <v>13.254446151445455</v>
      </c>
      <c r="J64" s="76">
        <f t="shared" si="8"/>
        <v>0.11948532792928489</v>
      </c>
      <c r="K64" s="76">
        <f t="shared" si="12"/>
        <v>711.2981004973465</v>
      </c>
      <c r="L64" s="76">
        <f>0.001*414/(F64-друк!$C$33/1000)</f>
        <v>0.00836922840092828</v>
      </c>
      <c r="M64" s="76">
        <f t="shared" si="13"/>
        <v>0.5820344518149665</v>
      </c>
      <c r="N64" s="76">
        <f>100*F64*C64/((друк!$C$15-друк!$C$18)/2)</f>
        <v>565.0563579951794</v>
      </c>
      <c r="O64" s="76">
        <f t="shared" si="14"/>
        <v>5248.1033585798705</v>
      </c>
    </row>
    <row r="65" spans="1:15" ht="18">
      <c r="A65" s="76">
        <f t="shared" si="9"/>
        <v>96</v>
      </c>
      <c r="B65" s="76">
        <f t="shared" si="4"/>
        <v>30.4128</v>
      </c>
      <c r="C65" s="76">
        <f t="shared" si="10"/>
        <v>196.40667894268282</v>
      </c>
      <c r="D65" s="76">
        <f>D64-друк!$C$42</f>
        <v>394.3830220181027</v>
      </c>
      <c r="E65" s="76">
        <f>E64-друк!$C$42</f>
        <v>196.406784542894</v>
      </c>
      <c r="F65" s="76">
        <f t="shared" si="5"/>
        <v>56.56512353549265</v>
      </c>
      <c r="G65" s="76">
        <f t="shared" si="11"/>
        <v>86.97792353549265</v>
      </c>
      <c r="H65" s="76">
        <f t="shared" si="15"/>
        <v>0.3943830025713861</v>
      </c>
      <c r="I65" s="76">
        <f t="shared" si="16"/>
        <v>13.76924754929748</v>
      </c>
      <c r="J65" s="76">
        <f t="shared" si="8"/>
        <v>0.12125884662998485</v>
      </c>
      <c r="K65" s="76">
        <f t="shared" si="12"/>
        <v>717.2913643233085</v>
      </c>
      <c r="L65" s="76">
        <f>0.001*414/(F65-друк!$C$33/1000)</f>
        <v>0.008246820976711488</v>
      </c>
      <c r="M65" s="76">
        <f t="shared" si="13"/>
        <v>0.5771713150214305</v>
      </c>
      <c r="N65" s="76">
        <f>100*F65*C65/((друк!$C$15-друк!$C$18)/2)</f>
        <v>567.9326207703409</v>
      </c>
      <c r="O65" s="76">
        <f t="shared" si="14"/>
        <v>5430.251859407294</v>
      </c>
    </row>
    <row r="66" spans="1:15" ht="18">
      <c r="A66" s="76">
        <f t="shared" si="9"/>
        <v>98</v>
      </c>
      <c r="B66" s="76">
        <f t="shared" si="4"/>
        <v>31.6932</v>
      </c>
      <c r="C66" s="76">
        <f t="shared" si="10"/>
        <v>194.831489823653</v>
      </c>
      <c r="D66" s="76">
        <f>D65-друк!$C$42</f>
        <v>392.8078350990835</v>
      </c>
      <c r="E66" s="76">
        <f>E65-друк!$C$42</f>
        <v>194.8315976238748</v>
      </c>
      <c r="F66" s="76">
        <f t="shared" si="5"/>
        <v>57.28045800815398</v>
      </c>
      <c r="G66" s="76">
        <f t="shared" si="11"/>
        <v>88.97365800815398</v>
      </c>
      <c r="H66" s="76">
        <f t="shared" si="15"/>
        <v>0.39280781589521674</v>
      </c>
      <c r="I66" s="76">
        <f t="shared" si="16"/>
        <v>14.290938680953486</v>
      </c>
      <c r="J66" s="76">
        <f t="shared" si="8"/>
        <v>0.12298670767506051</v>
      </c>
      <c r="K66" s="76">
        <f t="shared" si="12"/>
        <v>723.4412538567062</v>
      </c>
      <c r="L66" s="76">
        <f>0.001*414/(F66-друк!$C$33/1000)</f>
        <v>0.008130959994815619</v>
      </c>
      <c r="M66" s="76">
        <f t="shared" si="13"/>
        <v>0.5722648491400546</v>
      </c>
      <c r="N66" s="76">
        <f>100*F66*C66/((друк!$C$15-друк!$C$18)/2)</f>
        <v>570.5023734311095</v>
      </c>
      <c r="O66" s="76">
        <f t="shared" si="14"/>
        <v>5613.48488479909</v>
      </c>
    </row>
    <row r="67" spans="1:15" ht="18">
      <c r="A67" s="76">
        <f t="shared" si="9"/>
        <v>100</v>
      </c>
      <c r="B67" s="76">
        <f t="shared" si="4"/>
        <v>33</v>
      </c>
      <c r="C67" s="76">
        <f t="shared" si="10"/>
        <v>193.25630070462276</v>
      </c>
      <c r="D67" s="76">
        <f>D66-друк!$C$42</f>
        <v>391.2326481800643</v>
      </c>
      <c r="E67" s="76">
        <f>E66-друк!$C$42</f>
        <v>193.25641070485563</v>
      </c>
      <c r="F67" s="76">
        <f t="shared" si="5"/>
        <v>57.976890211386824</v>
      </c>
      <c r="G67" s="76">
        <f t="shared" si="11"/>
        <v>90.97689021138683</v>
      </c>
      <c r="H67" s="76">
        <f t="shared" si="15"/>
        <v>0.3912326292068727</v>
      </c>
      <c r="I67" s="76">
        <f t="shared" si="16"/>
        <v>14.819312877156031</v>
      </c>
      <c r="J67" s="76">
        <f t="shared" si="8"/>
        <v>0.12466891106451182</v>
      </c>
      <c r="K67" s="76">
        <f t="shared" si="12"/>
        <v>729.7480136351674</v>
      </c>
      <c r="L67" s="76">
        <f>0.001*414/(F67-друк!$C$33/1000)</f>
        <v>0.008021245966306186</v>
      </c>
      <c r="M67" s="76">
        <f t="shared" si="13"/>
        <v>0.5673191187430577</v>
      </c>
      <c r="N67" s="76">
        <f>100*F67*C67/((друк!$C$15-друк!$C$18)/2)</f>
        <v>572.7701822279474</v>
      </c>
      <c r="O67" s="76">
        <f t="shared" si="14"/>
        <v>5797.689021138683</v>
      </c>
    </row>
    <row r="68" spans="1:15" ht="18">
      <c r="A68" s="76">
        <f t="shared" si="9"/>
        <v>102</v>
      </c>
      <c r="B68" s="76">
        <f t="shared" si="4"/>
        <v>34.333200000000005</v>
      </c>
      <c r="C68" s="76">
        <f t="shared" si="10"/>
        <v>191.68111158559222</v>
      </c>
      <c r="D68" s="76">
        <f>D67-друк!$C$42</f>
        <v>389.6574612610451</v>
      </c>
      <c r="E68" s="76">
        <f>E67-друк!$C$42</f>
        <v>191.68122378583644</v>
      </c>
      <c r="F68" s="76">
        <f t="shared" si="5"/>
        <v>58.65442014519122</v>
      </c>
      <c r="G68" s="76">
        <f t="shared" si="11"/>
        <v>92.98762014519122</v>
      </c>
      <c r="H68" s="76">
        <f t="shared" si="15"/>
        <v>0.38965744250701045</v>
      </c>
      <c r="I68" s="76">
        <f t="shared" si="16"/>
        <v>15.35416012681296</v>
      </c>
      <c r="J68" s="76">
        <f t="shared" si="8"/>
        <v>0.12630545679833885</v>
      </c>
      <c r="K68" s="76">
        <f t="shared" si="12"/>
        <v>736.2122152303888</v>
      </c>
      <c r="L68" s="76">
        <f>0.001*414/(F68-друк!$C$33/1000)</f>
        <v>0.007917314305720098</v>
      </c>
      <c r="M68" s="76">
        <f t="shared" si="13"/>
        <v>0.5623378578015629</v>
      </c>
      <c r="N68" s="76">
        <f>100*F68*C68/((друк!$C$15-друк!$C$18)/2)</f>
        <v>574.7406134113182</v>
      </c>
      <c r="O68" s="76">
        <f t="shared" si="14"/>
        <v>5982.750854809504</v>
      </c>
    </row>
    <row r="69" spans="1:15" ht="18">
      <c r="A69" s="76">
        <f t="shared" si="9"/>
        <v>104</v>
      </c>
      <c r="B69" s="76">
        <f t="shared" si="4"/>
        <v>35.692800000000005</v>
      </c>
      <c r="C69" s="76">
        <f t="shared" si="10"/>
        <v>190.10592246656122</v>
      </c>
      <c r="D69" s="76">
        <f>D68-друк!$C$42</f>
        <v>388.0822743420259</v>
      </c>
      <c r="E69" s="76">
        <f>E68-друк!$C$42</f>
        <v>190.10603686681725</v>
      </c>
      <c r="F69" s="76">
        <f t="shared" si="5"/>
        <v>59.313047809567095</v>
      </c>
      <c r="G69" s="76">
        <f t="shared" si="11"/>
        <v>95.0058478095671</v>
      </c>
      <c r="H69" s="76">
        <f t="shared" si="15"/>
        <v>0.3880822557962344</v>
      </c>
      <c r="I69" s="76">
        <f t="shared" si="16"/>
        <v>15.895267009176473</v>
      </c>
      <c r="J69" s="76">
        <f t="shared" si="8"/>
        <v>0.12789634487654147</v>
      </c>
      <c r="K69" s="76">
        <f t="shared" si="12"/>
        <v>742.834737781415</v>
      </c>
      <c r="L69" s="76">
        <f>0.001*414/(F69-друк!$C$33/1000)</f>
        <v>0.00781883173413049</v>
      </c>
      <c r="M69" s="76">
        <f t="shared" si="13"/>
        <v>0.5573245015930082</v>
      </c>
      <c r="N69" s="76">
        <f>100*F69*C69/((друк!$C$15-друк!$C$18)/2)</f>
        <v>576.4182332316838</v>
      </c>
      <c r="O69" s="76">
        <f t="shared" si="14"/>
        <v>6168.556972194978</v>
      </c>
    </row>
    <row r="70" spans="1:15" ht="18">
      <c r="A70" s="76">
        <f t="shared" si="9"/>
        <v>106</v>
      </c>
      <c r="B70" s="76">
        <f t="shared" si="4"/>
        <v>37.0788</v>
      </c>
      <c r="C70" s="76">
        <f t="shared" si="10"/>
        <v>188.5307333475299</v>
      </c>
      <c r="D70" s="76">
        <f>D69-друк!$C$42</f>
        <v>386.50708742300674</v>
      </c>
      <c r="E70" s="76">
        <f>E69-друк!$C$42</f>
        <v>188.53084994779806</v>
      </c>
      <c r="F70" s="76">
        <f t="shared" si="5"/>
        <v>59.9527732045145</v>
      </c>
      <c r="G70" s="76">
        <f t="shared" si="11"/>
        <v>97.0315732045145</v>
      </c>
      <c r="H70" s="76">
        <f t="shared" si="15"/>
        <v>0.38650706907510113</v>
      </c>
      <c r="I70" s="76">
        <f t="shared" si="16"/>
        <v>16.44241662436395</v>
      </c>
      <c r="J70" s="76">
        <f t="shared" si="8"/>
        <v>0.12944157529911973</v>
      </c>
      <c r="K70" s="76">
        <f t="shared" si="12"/>
        <v>749.6167516525455</v>
      </c>
      <c r="L70" s="76">
        <f>0.001*414/(F70-друк!$C$33/1000)</f>
        <v>0.007725493124517008</v>
      </c>
      <c r="M70" s="76">
        <f t="shared" si="13"/>
        <v>0.5522822149949671</v>
      </c>
      <c r="N70" s="76">
        <f>100*F70*C70/((друк!$C$15-друк!$C$18)/2)</f>
        <v>577.8076079395075</v>
      </c>
      <c r="O70" s="76">
        <f t="shared" si="14"/>
        <v>6354.993959678537</v>
      </c>
    </row>
    <row r="71" spans="1:15" ht="18">
      <c r="A71" s="76">
        <f t="shared" si="9"/>
        <v>108</v>
      </c>
      <c r="B71" s="76">
        <f t="shared" si="4"/>
        <v>38.4912</v>
      </c>
      <c r="C71" s="76">
        <f t="shared" si="10"/>
        <v>186.95554422849813</v>
      </c>
      <c r="D71" s="76">
        <f>D70-друк!$C$42</f>
        <v>384.93190050398755</v>
      </c>
      <c r="E71" s="76">
        <f>E70-друк!$C$42</f>
        <v>186.95566302877887</v>
      </c>
      <c r="F71" s="76">
        <f t="shared" si="5"/>
        <v>60.57359633003339</v>
      </c>
      <c r="G71" s="76">
        <f t="shared" si="11"/>
        <v>99.06479633003339</v>
      </c>
      <c r="H71" s="76">
        <f t="shared" si="15"/>
        <v>0.38493188234412407</v>
      </c>
      <c r="I71" s="76">
        <f t="shared" si="16"/>
        <v>16.995388522172732</v>
      </c>
      <c r="J71" s="76">
        <f t="shared" si="8"/>
        <v>0.13094114806607357</v>
      </c>
      <c r="K71" s="76">
        <f t="shared" si="12"/>
        <v>756.5597048228475</v>
      </c>
      <c r="L71" s="76">
        <f>0.001*414/(F71-друк!$C$33/1000)</f>
        <v>0.007637018727645453</v>
      </c>
      <c r="M71" s="76">
        <f t="shared" si="13"/>
        <v>0.5472139176338242</v>
      </c>
      <c r="N71" s="76">
        <f>100*F71*C71/((друк!$C$15-друк!$C$18)/2)</f>
        <v>578.9133037852521</v>
      </c>
      <c r="O71" s="76">
        <f t="shared" si="14"/>
        <v>6541.948403643606</v>
      </c>
    </row>
    <row r="72" spans="1:15" ht="18">
      <c r="A72" s="76">
        <f t="shared" si="9"/>
        <v>110</v>
      </c>
      <c r="B72" s="76">
        <f t="shared" si="4"/>
        <v>39.93</v>
      </c>
      <c r="C72" s="76">
        <f t="shared" si="10"/>
        <v>185.38035510946597</v>
      </c>
      <c r="D72" s="76">
        <f>D71-друк!$C$42</f>
        <v>383.35671358496836</v>
      </c>
      <c r="E72" s="76">
        <f>E71-друк!$C$42</f>
        <v>185.38047610975968</v>
      </c>
      <c r="F72" s="76">
        <f t="shared" si="5"/>
        <v>61.17551718612377</v>
      </c>
      <c r="G72" s="76">
        <f t="shared" si="11"/>
        <v>101.10551718612376</v>
      </c>
      <c r="H72" s="76">
        <f t="shared" si="15"/>
        <v>0.38335669560377716</v>
      </c>
      <c r="I72" s="76">
        <f t="shared" si="16"/>
        <v>17.55395862914002</v>
      </c>
      <c r="J72" s="76">
        <f t="shared" si="8"/>
        <v>0.132395063177403</v>
      </c>
      <c r="K72" s="76">
        <f t="shared" si="12"/>
        <v>763.6653116789352</v>
      </c>
      <c r="L72" s="76">
        <f>0.001*414/(F72-друк!$C$33/1000)</f>
        <v>0.007553151726360434</v>
      </c>
      <c r="M72" s="76">
        <f t="shared" si="13"/>
        <v>0.5421223062886172</v>
      </c>
      <c r="N72" s="76">
        <f>100*F72*C72/((друк!$C$15-друк!$C$18)/2)</f>
        <v>579.7398870193806</v>
      </c>
      <c r="O72" s="76">
        <f t="shared" si="14"/>
        <v>6729.306890473615</v>
      </c>
    </row>
    <row r="73" spans="1:15" ht="18">
      <c r="A73" s="76">
        <f t="shared" si="9"/>
        <v>112</v>
      </c>
      <c r="B73" s="76">
        <f t="shared" si="4"/>
        <v>41.3952</v>
      </c>
      <c r="C73" s="76">
        <f t="shared" si="10"/>
        <v>183.8051659904334</v>
      </c>
      <c r="D73" s="76">
        <f>D72-друк!$C$42</f>
        <v>381.7815266659492</v>
      </c>
      <c r="E73" s="76">
        <f>E72-друк!$C$42</f>
        <v>183.8052891907405</v>
      </c>
      <c r="F73" s="76">
        <f t="shared" si="5"/>
        <v>61.75853577278563</v>
      </c>
      <c r="G73" s="76">
        <f t="shared" si="11"/>
        <v>103.15373577278564</v>
      </c>
      <c r="H73" s="76">
        <f t="shared" si="15"/>
        <v>0.3817815088544986</v>
      </c>
      <c r="I73" s="76">
        <f t="shared" si="16"/>
        <v>18.11789917379709</v>
      </c>
      <c r="J73" s="76">
        <f t="shared" si="8"/>
        <v>0.13380332063310796</v>
      </c>
      <c r="K73" s="76">
        <f t="shared" si="12"/>
        <v>770.93554393643</v>
      </c>
      <c r="L73" s="76">
        <f>0.001*414/(F73-друк!$C$33/1000)</f>
        <v>0.00747365607421676</v>
      </c>
      <c r="M73" s="76">
        <f t="shared" si="13"/>
        <v>0.5370098748931696</v>
      </c>
      <c r="N73" s="76">
        <f>100*F73*C73/((друк!$C$15-друк!$C$18)/2)</f>
        <v>580.2919238923556</v>
      </c>
      <c r="O73" s="76">
        <f t="shared" si="14"/>
        <v>6916.95600655199</v>
      </c>
    </row>
    <row r="74" spans="1:15" ht="18">
      <c r="A74" s="76">
        <f t="shared" si="9"/>
        <v>114</v>
      </c>
      <c r="B74" s="76">
        <f t="shared" si="4"/>
        <v>42.8868</v>
      </c>
      <c r="C74" s="76">
        <f t="shared" si="10"/>
        <v>182.2299768714004</v>
      </c>
      <c r="D74" s="76">
        <f>D73-друк!$C$42</f>
        <v>380.20633974693</v>
      </c>
      <c r="E74" s="76">
        <f>E73-друк!$C$42</f>
        <v>182.2301022717213</v>
      </c>
      <c r="F74" s="76">
        <f t="shared" si="5"/>
        <v>62.322652090018934</v>
      </c>
      <c r="G74" s="76">
        <f t="shared" si="11"/>
        <v>105.20945209001894</v>
      </c>
      <c r="H74" s="76">
        <f t="shared" si="15"/>
        <v>0.38020632209669325</v>
      </c>
      <c r="I74" s="76">
        <f t="shared" si="16"/>
        <v>18.686978610065452</v>
      </c>
      <c r="J74" s="76">
        <f t="shared" si="8"/>
        <v>0.13516592043318842</v>
      </c>
      <c r="K74" s="76">
        <f t="shared" si="12"/>
        <v>778.372623460388</v>
      </c>
      <c r="L74" s="76">
        <f>0.001*414/(F74-друк!$C$33/1000)</f>
        <v>0.007398314581035929</v>
      </c>
      <c r="M74" s="76">
        <f t="shared" si="13"/>
        <v>0.531878932431478</v>
      </c>
      <c r="N74" s="76">
        <f>100*F74*C74/((друк!$C$15-друк!$C$18)/2)</f>
        <v>580.5739806546399</v>
      </c>
      <c r="O74" s="76">
        <f t="shared" si="14"/>
        <v>7104.782338262158</v>
      </c>
    </row>
    <row r="75" spans="1:15" ht="18">
      <c r="A75" s="76">
        <f t="shared" si="9"/>
        <v>116</v>
      </c>
      <c r="B75" s="76">
        <f t="shared" si="4"/>
        <v>44.4048</v>
      </c>
      <c r="C75" s="76">
        <f t="shared" si="10"/>
        <v>180.65478775236693</v>
      </c>
      <c r="D75" s="76">
        <f>D74-друк!$C$42</f>
        <v>378.6311528279108</v>
      </c>
      <c r="E75" s="76">
        <f>E74-друк!$C$42</f>
        <v>180.65491535270212</v>
      </c>
      <c r="F75" s="76">
        <f t="shared" si="5"/>
        <v>62.8678661378237</v>
      </c>
      <c r="G75" s="76">
        <f t="shared" si="11"/>
        <v>107.2726661378237</v>
      </c>
      <c r="H75" s="76">
        <f t="shared" si="15"/>
        <v>0.3786311353307361</v>
      </c>
      <c r="I75" s="76">
        <f t="shared" si="16"/>
        <v>19.260961538740982</v>
      </c>
      <c r="J75" s="76">
        <f t="shared" si="8"/>
        <v>0.13648286257764436</v>
      </c>
      <c r="K75" s="76">
        <f t="shared" si="12"/>
        <v>785.9790167926532</v>
      </c>
      <c r="L75" s="76">
        <f>0.001*414/(F75-друк!$C$33/1000)</f>
        <v>0.007326927213525475</v>
      </c>
      <c r="M75" s="76">
        <f t="shared" si="13"/>
        <v>0.5267316189806326</v>
      </c>
      <c r="N75" s="76">
        <f>100*F75*C75/((друк!$C$15-друк!$C$18)/2)</f>
        <v>580.5906235566962</v>
      </c>
      <c r="O75" s="76">
        <f t="shared" si="14"/>
        <v>7292.672471987549</v>
      </c>
    </row>
    <row r="76" spans="1:15" ht="18">
      <c r="A76" s="76">
        <f t="shared" si="9"/>
        <v>118</v>
      </c>
      <c r="B76" s="76">
        <f t="shared" si="4"/>
        <v>45.949200000000005</v>
      </c>
      <c r="C76" s="76">
        <f t="shared" si="10"/>
        <v>179.07959863333303</v>
      </c>
      <c r="D76" s="76">
        <f>D75-друк!$C$42</f>
        <v>377.0559659088916</v>
      </c>
      <c r="E76" s="76">
        <f>E75-друк!$C$42</f>
        <v>179.07972843368293</v>
      </c>
      <c r="F76" s="76">
        <f t="shared" si="5"/>
        <v>63.394177916199894</v>
      </c>
      <c r="G76" s="76">
        <f t="shared" si="11"/>
        <v>109.3433779161999</v>
      </c>
      <c r="H76" s="76">
        <f t="shared" si="15"/>
        <v>0.37705594855697455</v>
      </c>
      <c r="I76" s="76">
        <f t="shared" si="16"/>
        <v>19.839608627009873</v>
      </c>
      <c r="J76" s="76">
        <f t="shared" si="8"/>
        <v>0.13775414706647576</v>
      </c>
      <c r="K76" s="76">
        <f t="shared" si="12"/>
        <v>793.7574312258945</v>
      </c>
      <c r="L76" s="76">
        <f>0.001*414/(F76-друк!$C$33/1000)</f>
        <v>0.007259309583742927</v>
      </c>
      <c r="M76" s="76">
        <f t="shared" si="13"/>
        <v>0.5215699201210756</v>
      </c>
      <c r="N76" s="76">
        <f>100*F76*C76/((друк!$C$15-друк!$C$18)/2)</f>
        <v>580.3464188489876</v>
      </c>
      <c r="O76" s="76">
        <f t="shared" si="14"/>
        <v>7480.512994111587</v>
      </c>
    </row>
    <row r="77" spans="1:15" ht="18">
      <c r="A77" s="76">
        <f t="shared" si="9"/>
        <v>120</v>
      </c>
      <c r="B77" s="76">
        <f t="shared" si="4"/>
        <v>47.52</v>
      </c>
      <c r="C77" s="76">
        <f t="shared" si="10"/>
        <v>177.5044095142987</v>
      </c>
      <c r="D77" s="76">
        <f>D76-друк!$C$42</f>
        <v>375.4807789898724</v>
      </c>
      <c r="E77" s="76">
        <f>E76-друк!$C$42</f>
        <v>177.50454151466374</v>
      </c>
      <c r="F77" s="76">
        <f t="shared" si="5"/>
        <v>63.901587425147525</v>
      </c>
      <c r="G77" s="76">
        <f t="shared" si="11"/>
        <v>111.42158742514752</v>
      </c>
      <c r="H77" s="76">
        <f t="shared" si="15"/>
        <v>0.37548076177573025</v>
      </c>
      <c r="I77" s="76">
        <f t="shared" si="16"/>
        <v>20.422676525938858</v>
      </c>
      <c r="J77" s="76">
        <f t="shared" si="8"/>
        <v>0.1389797738996826</v>
      </c>
      <c r="K77" s="76">
        <f t="shared" si="12"/>
        <v>801.7108122910969</v>
      </c>
      <c r="L77" s="76">
        <f>0.001*414/(F77-друк!$C$33/1000)</f>
        <v>0.007195291602084581</v>
      </c>
      <c r="M77" s="76">
        <f t="shared" si="13"/>
        <v>0.5163956799046872</v>
      </c>
      <c r="N77" s="76">
        <f>100*F77*C77/((друк!$C$15-друк!$C$18)/2)</f>
        <v>579.8459327819769</v>
      </c>
      <c r="O77" s="76">
        <f t="shared" si="14"/>
        <v>7668.190491017703</v>
      </c>
    </row>
    <row r="78" spans="1:15" ht="18">
      <c r="A78" s="76">
        <f t="shared" si="9"/>
        <v>122</v>
      </c>
      <c r="B78" s="76">
        <f t="shared" si="4"/>
        <v>49.117200000000004</v>
      </c>
      <c r="C78" s="76">
        <f t="shared" si="10"/>
        <v>175.92922039526385</v>
      </c>
      <c r="D78" s="76">
        <f>D77-друк!$C$42</f>
        <v>373.90559207085323</v>
      </c>
      <c r="E78" s="76">
        <f>E77-друк!$C$42</f>
        <v>175.92935459564455</v>
      </c>
      <c r="F78" s="76">
        <f t="shared" si="5"/>
        <v>64.39009466466656</v>
      </c>
      <c r="G78" s="76">
        <f t="shared" si="11"/>
        <v>113.50729466466657</v>
      </c>
      <c r="H78" s="76">
        <f t="shared" si="15"/>
        <v>0.3739055749873015</v>
      </c>
      <c r="I78" s="76">
        <f t="shared" si="16"/>
        <v>21.009917785879754</v>
      </c>
      <c r="J78" s="76">
        <f t="shared" si="8"/>
        <v>0.1401597430772648</v>
      </c>
      <c r="K78" s="76">
        <f t="shared" si="12"/>
        <v>809.8423425483469</v>
      </c>
      <c r="L78" s="76">
        <f>0.001*414/(F78-друк!$C$33/1000)</f>
        <v>0.007134716274763271</v>
      </c>
      <c r="M78" s="76">
        <f t="shared" si="13"/>
        <v>0.5112106125462125</v>
      </c>
      <c r="N78" s="76">
        <f>100*F78*C78/((друк!$C$15-друк!$C$18)/2)</f>
        <v>579.093731606127</v>
      </c>
      <c r="O78" s="76">
        <f t="shared" si="14"/>
        <v>7855.59154908932</v>
      </c>
    </row>
    <row r="79" spans="1:15" ht="18">
      <c r="A79" s="76">
        <f t="shared" si="9"/>
        <v>124</v>
      </c>
      <c r="B79" s="76">
        <f t="shared" si="4"/>
        <v>50.7408</v>
      </c>
      <c r="C79" s="76">
        <f t="shared" si="10"/>
        <v>174.3540312762285</v>
      </c>
      <c r="D79" s="76">
        <f>D78-друк!$C$42</f>
        <v>372.33040515183404</v>
      </c>
      <c r="E79" s="76">
        <f>E78-друк!$C$42</f>
        <v>174.35416767662537</v>
      </c>
      <c r="F79" s="76">
        <f t="shared" si="5"/>
        <v>64.859699634757</v>
      </c>
      <c r="G79" s="76">
        <f t="shared" si="11"/>
        <v>115.600499634757</v>
      </c>
      <c r="H79" s="76">
        <f t="shared" si="15"/>
        <v>0.3723303881919647</v>
      </c>
      <c r="I79" s="76">
        <f t="shared" si="16"/>
        <v>21.601080769726792</v>
      </c>
      <c r="J79" s="76">
        <f t="shared" si="8"/>
        <v>0.1412940545992224</v>
      </c>
      <c r="K79" s="76">
        <f t="shared" si="12"/>
        <v>818.1554415906272</v>
      </c>
      <c r="L79" s="76">
        <f>0.001*414/(F79-друк!$C$33/1000)</f>
        <v>0.007077438628514688</v>
      </c>
      <c r="M79" s="76">
        <f t="shared" si="13"/>
        <v>0.5060163129821842</v>
      </c>
      <c r="N79" s="76">
        <f>100*F79*C79/((друк!$C$15-друк!$C$18)/2)</f>
        <v>578.0943815719003</v>
      </c>
      <c r="O79" s="76">
        <f t="shared" si="14"/>
        <v>8042.602754709869</v>
      </c>
    </row>
    <row r="80" spans="1:15" ht="18">
      <c r="A80" s="76">
        <f t="shared" si="9"/>
        <v>126</v>
      </c>
      <c r="B80" s="76">
        <f t="shared" si="4"/>
        <v>52.390800000000006</v>
      </c>
      <c r="C80" s="76">
        <f t="shared" si="10"/>
        <v>172.77884215719268</v>
      </c>
      <c r="D80" s="76">
        <f>D79-друк!$C$42</f>
        <v>370.75521823281485</v>
      </c>
      <c r="E80" s="76">
        <f>E79-друк!$C$42</f>
        <v>172.77898075760618</v>
      </c>
      <c r="F80" s="76">
        <f t="shared" si="5"/>
        <v>65.31040233541883</v>
      </c>
      <c r="G80" s="76">
        <f t="shared" si="11"/>
        <v>117.70120233541883</v>
      </c>
      <c r="H80" s="76">
        <f t="shared" si="15"/>
        <v>0.3707552013899762</v>
      </c>
      <c r="I80" s="76">
        <f t="shared" si="16"/>
        <v>22.19590956396259</v>
      </c>
      <c r="J80" s="76">
        <f t="shared" si="8"/>
        <v>0.1423827084655553</v>
      </c>
      <c r="K80" s="76">
        <f t="shared" si="12"/>
        <v>826.653767187556</v>
      </c>
      <c r="L80" s="76">
        <f>0.001*414/(F80-друк!$C$33/1000)</f>
        <v>0.007023324747624929</v>
      </c>
      <c r="M80" s="76">
        <f t="shared" si="13"/>
        <v>0.5008142664231872</v>
      </c>
      <c r="N80" s="76">
        <f>100*F80*C80/((друк!$C$15-друк!$C$18)/2)</f>
        <v>576.8524489297599</v>
      </c>
      <c r="O80" s="76">
        <f t="shared" si="14"/>
        <v>8229.110694262772</v>
      </c>
    </row>
    <row r="81" spans="1:15" ht="18">
      <c r="A81" s="76">
        <f t="shared" si="9"/>
        <v>128</v>
      </c>
      <c r="B81" s="76">
        <f t="shared" si="4"/>
        <v>54.0672</v>
      </c>
      <c r="C81" s="76">
        <f t="shared" si="10"/>
        <v>171.20365303815635</v>
      </c>
      <c r="D81" s="76">
        <f>D80-друк!$C$42</f>
        <v>369.18003131379567</v>
      </c>
      <c r="E81" s="76">
        <f>E80-друк!$C$42</f>
        <v>171.203793838587</v>
      </c>
      <c r="F81" s="76">
        <f t="shared" si="5"/>
        <v>65.74220276665204</v>
      </c>
      <c r="G81" s="76">
        <f t="shared" si="11"/>
        <v>119.80940276665204</v>
      </c>
      <c r="H81" s="76">
        <f t="shared" si="15"/>
        <v>0.36918001458157396</v>
      </c>
      <c r="I81" s="76">
        <f t="shared" si="16"/>
        <v>22.79414388742699</v>
      </c>
      <c r="J81" s="76">
        <f t="shared" si="8"/>
        <v>0.14342570467626356</v>
      </c>
      <c r="K81" s="76">
        <f t="shared" si="12"/>
        <v>835.3412175110622</v>
      </c>
      <c r="L81" s="76">
        <f>0.001*414/(F81-друк!$C$33/1000)</f>
        <v>0.006972250910373227</v>
      </c>
      <c r="M81" s="76">
        <f t="shared" si="13"/>
        <v>0.49560585700958487</v>
      </c>
      <c r="N81" s="76">
        <f>100*F81*C81/((друк!$C$15-друк!$C$18)/2)</f>
        <v>575.3724999301689</v>
      </c>
      <c r="O81" s="76">
        <f t="shared" si="14"/>
        <v>8415.001954131461</v>
      </c>
    </row>
    <row r="82" spans="1:15" ht="18">
      <c r="A82" s="76">
        <f t="shared" si="9"/>
        <v>130</v>
      </c>
      <c r="B82" s="76">
        <f t="shared" si="4"/>
        <v>55.77</v>
      </c>
      <c r="C82" s="76">
        <f t="shared" si="10"/>
        <v>169.62846391911947</v>
      </c>
      <c r="D82" s="76">
        <f>D81-друк!$C$42</f>
        <v>367.6048443947765</v>
      </c>
      <c r="E82" s="76">
        <f>E81-друк!$C$42</f>
        <v>169.6286069195678</v>
      </c>
      <c r="F82" s="76">
        <f t="shared" si="5"/>
        <v>66.15510092845659</v>
      </c>
      <c r="G82" s="76">
        <f aca="true" t="shared" si="17" ref="G82:G87">F82+B82</f>
        <v>121.9251009284566</v>
      </c>
      <c r="H82" s="76">
        <f t="shared" si="15"/>
        <v>0.3676048277669783</v>
      </c>
      <c r="I82" s="76">
        <f t="shared" si="16"/>
        <v>23.395518997740286</v>
      </c>
      <c r="J82" s="76">
        <f t="shared" si="8"/>
        <v>0.144423043231347</v>
      </c>
      <c r="K82" s="76">
        <f aca="true" t="shared" si="18" ref="K82:K87">G82/J82</f>
        <v>844.2219343982968</v>
      </c>
      <c r="L82" s="76">
        <f>0.001*414/(F82-друк!$C$33/1000)</f>
        <v>0.0069241028136910925</v>
      </c>
      <c r="M82" s="76">
        <f aca="true" t="shared" si="19" ref="M82:M87">414*J82/G82</f>
        <v>0.4903923756672713</v>
      </c>
      <c r="N82" s="76">
        <f>100*F82*C82/((друк!$C$15-друк!$C$18)/2)</f>
        <v>573.6591008235897</v>
      </c>
      <c r="O82" s="76">
        <f aca="true" t="shared" si="20" ref="O82:O87">F82*A82</f>
        <v>8600.163120699357</v>
      </c>
    </row>
    <row r="83" spans="1:15" ht="18">
      <c r="A83" s="76">
        <f t="shared" si="9"/>
        <v>132</v>
      </c>
      <c r="B83" s="76">
        <f>3*A83^2*$J$7</f>
        <v>57.4992</v>
      </c>
      <c r="C83" s="76">
        <f>(SQRT(E83^2-((A83*$J$8/1000)^2)))-(A83*$J$7/1000)</f>
        <v>168.05327480008205</v>
      </c>
      <c r="D83" s="76">
        <f>D82-друк!$C$42</f>
        <v>366.0296574757573</v>
      </c>
      <c r="E83" s="76">
        <f>E82-друк!$C$42</f>
        <v>168.0534200005486</v>
      </c>
      <c r="F83" s="76">
        <f>3*A83*C83/1000</f>
        <v>66.54909682083249</v>
      </c>
      <c r="G83" s="76">
        <f t="shared" si="17"/>
        <v>124.04829682083249</v>
      </c>
      <c r="H83" s="76">
        <f t="shared" si="15"/>
        <v>0.36602964094639345</v>
      </c>
      <c r="I83" s="76">
        <f t="shared" si="16"/>
        <v>23.999765595310283</v>
      </c>
      <c r="J83" s="76">
        <f>(F83-$J$5)/414</f>
        <v>0.1453747241308057</v>
      </c>
      <c r="K83" s="76">
        <f t="shared" si="18"/>
        <v>853.3003076189224</v>
      </c>
      <c r="L83" s="76">
        <f>0.001*414/(F83-друк!$C$33/1000)</f>
        <v>0.006878774876299797</v>
      </c>
      <c r="M83" s="76">
        <f t="shared" si="19"/>
        <v>0.4851750272483077</v>
      </c>
      <c r="N83" s="76">
        <f>100*F83*C83/((друк!$C$15-друк!$C$18)/2)</f>
        <v>571.7168178604852</v>
      </c>
      <c r="O83" s="76">
        <f t="shared" si="20"/>
        <v>8784.480780349888</v>
      </c>
    </row>
    <row r="84" spans="1:15" ht="18">
      <c r="A84" s="76">
        <f>A83+2</f>
        <v>134</v>
      </c>
      <c r="B84" s="76">
        <f>3*A84^2*$J$7</f>
        <v>59.2548</v>
      </c>
      <c r="C84" s="76">
        <f>(SQRT(E84^2-((A84*$J$8/1000)^2)))-(A84*$J$7/1000)</f>
        <v>166.47808568104406</v>
      </c>
      <c r="D84" s="76">
        <f>D83-друк!$C$42</f>
        <v>364.4544705567381</v>
      </c>
      <c r="E84" s="76">
        <f>E83-друк!$C$42</f>
        <v>166.47823308152942</v>
      </c>
      <c r="F84" s="76">
        <f>3*A84*C84/1000</f>
        <v>66.92419044377972</v>
      </c>
      <c r="G84" s="76">
        <f t="shared" si="17"/>
        <v>126.17899044377972</v>
      </c>
      <c r="H84" s="76">
        <f t="shared" si="15"/>
        <v>0.36445445412000854</v>
      </c>
      <c r="I84" s="76">
        <f t="shared" si="16"/>
        <v>24.606609724849974</v>
      </c>
      <c r="J84" s="76">
        <f>(F84-$J$5)/414</f>
        <v>0.14628074737463959</v>
      </c>
      <c r="K84" s="76">
        <f t="shared" si="18"/>
        <v>862.580980124628</v>
      </c>
      <c r="L84" s="76">
        <f>0.001*414/(F84-друк!$C$33/1000)</f>
        <v>0.006836169611841675</v>
      </c>
      <c r="M84" s="76">
        <f t="shared" si="19"/>
        <v>0.4799549370311691</v>
      </c>
      <c r="N84" s="76">
        <f>100*F84*C84/((друк!$C$15-друк!$C$18)/2)</f>
        <v>569.5502172913184</v>
      </c>
      <c r="O84" s="76">
        <f t="shared" si="20"/>
        <v>8967.841519466483</v>
      </c>
    </row>
    <row r="85" spans="1:15" ht="18">
      <c r="A85" s="76">
        <f>A84+2</f>
        <v>136</v>
      </c>
      <c r="B85" s="76">
        <f>3*A85^2*$J$7</f>
        <v>61.03680000000001</v>
      </c>
      <c r="C85" s="76">
        <f>(SQRT(E85^2-((A85*$J$8/1000)^2)))-(A85*$J$7/1000)</f>
        <v>164.9028965620055</v>
      </c>
      <c r="D85" s="76">
        <f>D84-друк!$C$42</f>
        <v>362.8792836377189</v>
      </c>
      <c r="E85" s="76">
        <f>E84-друк!$C$42</f>
        <v>164.90304616251024</v>
      </c>
      <c r="F85" s="76">
        <f>3*A85*C85/1000</f>
        <v>67.28038179729825</v>
      </c>
      <c r="G85" s="76">
        <f t="shared" si="17"/>
        <v>128.31718179729825</v>
      </c>
      <c r="H85" s="76">
        <f t="shared" si="15"/>
        <v>0.3628792672879988</v>
      </c>
      <c r="I85" s="76">
        <f t="shared" si="16"/>
        <v>25.21577267433034</v>
      </c>
      <c r="J85" s="76">
        <f>(F85-$J$5)/414</f>
        <v>0.1471411129628486</v>
      </c>
      <c r="K85" s="76">
        <f t="shared" si="18"/>
        <v>872.0688542684655</v>
      </c>
      <c r="L85" s="76">
        <f>0.001*414/(F85-друк!$C$33/1000)</f>
        <v>0.006796197064599398</v>
      </c>
      <c r="M85" s="76">
        <f t="shared" si="19"/>
        <v>0.4747331566465398</v>
      </c>
      <c r="N85" s="76">
        <f>100*F85*C85/((друк!$C$15-друк!$C$18)/2)</f>
        <v>567.1638653665519</v>
      </c>
      <c r="O85" s="76">
        <f t="shared" si="20"/>
        <v>9150.131924432562</v>
      </c>
    </row>
    <row r="86" spans="1:15" ht="18">
      <c r="A86" s="76">
        <f>A85+2</f>
        <v>138</v>
      </c>
      <c r="B86" s="76">
        <f>3*A86^2*$J$7</f>
        <v>62.845200000000006</v>
      </c>
      <c r="C86" s="76">
        <f>(SQRT(E86^2-((A86*$J$8/1000)^2)))-(A86*$J$7/1000)</f>
        <v>163.32770744296636</v>
      </c>
      <c r="D86" s="76">
        <f>D85-друк!$C$42</f>
        <v>361.3040967186997</v>
      </c>
      <c r="E86" s="76">
        <f>E85-друк!$C$42</f>
        <v>163.32785924349105</v>
      </c>
      <c r="F86" s="76">
        <f>3*A86*C86/1000</f>
        <v>67.61767088138807</v>
      </c>
      <c r="G86" s="76">
        <f t="shared" si="17"/>
        <v>130.46287088138808</v>
      </c>
      <c r="H86" s="76">
        <f t="shared" si="15"/>
        <v>0.3613040804505259</v>
      </c>
      <c r="I86" s="76">
        <f t="shared" si="16"/>
        <v>25.82697087128986</v>
      </c>
      <c r="J86" s="76">
        <f>(F86-$J$5)/414</f>
        <v>0.1479558208954327</v>
      </c>
      <c r="K86" s="76">
        <f t="shared" si="18"/>
        <v>881.7690989906528</v>
      </c>
      <c r="L86" s="76">
        <f>0.001*414/(F86-друк!$C$33/1000)</f>
        <v>0.006758774301328414</v>
      </c>
      <c r="M86" s="76">
        <f t="shared" si="19"/>
        <v>0.4695106694869431</v>
      </c>
      <c r="N86" s="76">
        <f>100*F86*C86/((друк!$C$15-друк!$C$18)/2)</f>
        <v>564.5623283366485</v>
      </c>
      <c r="O86" s="76">
        <f t="shared" si="20"/>
        <v>9331.238581631553</v>
      </c>
    </row>
    <row r="87" spans="1:15" ht="18">
      <c r="A87" s="76">
        <f>A86+2</f>
        <v>140</v>
      </c>
      <c r="B87" s="76">
        <f>3*A87^2*$J$7</f>
        <v>64.68</v>
      </c>
      <c r="C87" s="76">
        <f>(SQRT(E87^2-((A87*$J$8/1000)^2)))-(A87*$J$7/1000)</f>
        <v>161.75251832392658</v>
      </c>
      <c r="D87" s="76">
        <f>D86-друк!$C$42</f>
        <v>359.72890979968054</v>
      </c>
      <c r="E87" s="76">
        <f>E86-друк!$C$42</f>
        <v>161.75267232447186</v>
      </c>
      <c r="F87" s="76">
        <f>3*A87*C87/1000</f>
        <v>67.93605769604916</v>
      </c>
      <c r="G87" s="76">
        <f t="shared" si="17"/>
        <v>132.61605769604915</v>
      </c>
      <c r="H87" s="76">
        <f t="shared" si="15"/>
        <v>0.3597288936077396</v>
      </c>
      <c r="I87" s="76">
        <f t="shared" si="16"/>
        <v>26.439915776419838</v>
      </c>
      <c r="J87" s="76">
        <f>(F87-$J$5)/414</f>
        <v>0.14872487117239186</v>
      </c>
      <c r="K87" s="76">
        <f t="shared" si="18"/>
        <v>891.6871579759484</v>
      </c>
      <c r="L87" s="76">
        <f>0.001*414/(F87-друк!$C$33/1000)</f>
        <v>0.006723824953533611</v>
      </c>
      <c r="M87" s="76">
        <f t="shared" si="19"/>
        <v>0.4642883956518379</v>
      </c>
      <c r="N87" s="76">
        <f>100*F87*C87/((друк!$C$15-друк!$C$18)/2)</f>
        <v>561.7501724520713</v>
      </c>
      <c r="O87" s="76">
        <f t="shared" si="20"/>
        <v>9511.048077446883</v>
      </c>
    </row>
  </sheetData>
  <sheetProtection/>
  <mergeCells count="34">
    <mergeCell ref="K3:L3"/>
    <mergeCell ref="K6:L6"/>
    <mergeCell ref="K7:L7"/>
    <mergeCell ref="K8:L8"/>
    <mergeCell ref="A1:O1"/>
    <mergeCell ref="A7:G7"/>
    <mergeCell ref="A8:G8"/>
    <mergeCell ref="A2:G2"/>
    <mergeCell ref="A3:G3"/>
    <mergeCell ref="H16:H17"/>
    <mergeCell ref="I16:I17"/>
    <mergeCell ref="H3:I3"/>
    <mergeCell ref="H6:I6"/>
    <mergeCell ref="H7:I7"/>
    <mergeCell ref="H8:I8"/>
    <mergeCell ref="H9:I9"/>
    <mergeCell ref="H10:I10"/>
    <mergeCell ref="H11:I11"/>
    <mergeCell ref="A14:O14"/>
    <mergeCell ref="A13:G13"/>
    <mergeCell ref="H13:I13"/>
    <mergeCell ref="K9:L9"/>
    <mergeCell ref="K10:L10"/>
    <mergeCell ref="K12:L12"/>
    <mergeCell ref="A12:I12"/>
    <mergeCell ref="K13:L13"/>
    <mergeCell ref="A6:G6"/>
    <mergeCell ref="A4:G4"/>
    <mergeCell ref="A5:G5"/>
    <mergeCell ref="H5:I5"/>
    <mergeCell ref="A11:G11"/>
    <mergeCell ref="A9:G9"/>
    <mergeCell ref="A10:G10"/>
    <mergeCell ref="H4:I4"/>
  </mergeCells>
  <printOptions/>
  <pageMargins left="0.75" right="0.75" top="1" bottom="1" header="0.5" footer="0.5"/>
  <pageSetup horizontalDpi="360" verticalDpi="36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30:E30"/>
  <sheetViews>
    <sheetView zoomScalePageLayoutView="0" workbookViewId="0" topLeftCell="A1">
      <selection activeCell="G26" sqref="G26"/>
    </sheetView>
  </sheetViews>
  <sheetFormatPr defaultColWidth="9.00390625" defaultRowHeight="12.75"/>
  <sheetData>
    <row r="30" ht="12.75">
      <c r="E30" s="8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4"/>
  <sheetViews>
    <sheetView view="pageBreakPreview" zoomScale="75" zoomScaleNormal="75" zoomScaleSheetLayoutView="75" zoomScalePageLayoutView="0" workbookViewId="0" topLeftCell="A11">
      <selection activeCell="A15" sqref="A15"/>
    </sheetView>
  </sheetViews>
  <sheetFormatPr defaultColWidth="9.00390625" defaultRowHeight="12.75"/>
  <cols>
    <col min="1" max="1" width="16.375" style="0" customWidth="1"/>
    <col min="2" max="2" width="14.125" style="0" customWidth="1"/>
    <col min="3" max="3" width="13.625" style="0" customWidth="1"/>
    <col min="4" max="5" width="10.25390625" style="0" hidden="1" customWidth="1"/>
    <col min="6" max="6" width="10.25390625" style="0" customWidth="1"/>
    <col min="7" max="7" width="14.625" style="0" customWidth="1"/>
    <col min="8" max="8" width="14.375" style="0" customWidth="1"/>
    <col min="9" max="9" width="10.875" style="0" customWidth="1"/>
    <col min="10" max="10" width="20.875" style="0" customWidth="1"/>
    <col min="11" max="11" width="13.375" style="0" customWidth="1"/>
    <col min="12" max="12" width="11.375" style="0" bestFit="1" customWidth="1"/>
    <col min="13" max="13" width="12.125" style="0" customWidth="1"/>
    <col min="14" max="14" width="10.75390625" style="0" customWidth="1"/>
    <col min="15" max="15" width="15.875" style="0" customWidth="1"/>
    <col min="16" max="16" width="10.125" style="0" bestFit="1" customWidth="1"/>
  </cols>
  <sheetData>
    <row r="1" spans="1:16" ht="33" customHeight="1">
      <c r="A1" s="196" t="s">
        <v>280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2" ht="28.5" customHeight="1">
      <c r="A2" s="197" t="s">
        <v>82</v>
      </c>
      <c r="B2" s="197"/>
      <c r="C2" s="197"/>
      <c r="D2" s="197"/>
      <c r="E2" s="197"/>
      <c r="F2" s="197"/>
      <c r="G2" s="197"/>
      <c r="H2" s="197"/>
      <c r="I2" s="1"/>
      <c r="J2" s="1"/>
      <c r="K2" s="1"/>
      <c r="L2" s="1"/>
    </row>
    <row r="3" spans="1:13" ht="21.75" customHeight="1">
      <c r="A3" s="181" t="s">
        <v>190</v>
      </c>
      <c r="B3" s="181"/>
      <c r="C3" s="181"/>
      <c r="D3" s="181"/>
      <c r="E3" s="181"/>
      <c r="F3" s="181"/>
      <c r="G3" s="181"/>
      <c r="H3" s="181"/>
      <c r="I3" s="191"/>
      <c r="J3" s="191"/>
      <c r="K3" s="118">
        <f>вихідні!$E$28</f>
        <v>50</v>
      </c>
      <c r="L3" s="185" t="s">
        <v>42</v>
      </c>
      <c r="M3" s="185"/>
    </row>
    <row r="4" spans="1:13" ht="32.25" customHeight="1">
      <c r="A4" s="180" t="s">
        <v>184</v>
      </c>
      <c r="B4" s="180"/>
      <c r="C4" s="180"/>
      <c r="D4" s="180"/>
      <c r="E4" s="180"/>
      <c r="F4" s="180"/>
      <c r="G4" s="180"/>
      <c r="H4" s="180"/>
      <c r="I4" s="184" t="s">
        <v>155</v>
      </c>
      <c r="J4" s="184"/>
      <c r="K4" s="118">
        <f>вихідні!$E$48</f>
        <v>1.25</v>
      </c>
      <c r="L4" s="185"/>
      <c r="M4" s="185"/>
    </row>
    <row r="5" spans="1:13" ht="23.25" customHeight="1">
      <c r="A5" s="180" t="s">
        <v>185</v>
      </c>
      <c r="B5" s="180"/>
      <c r="C5" s="180"/>
      <c r="D5" s="180"/>
      <c r="E5" s="180"/>
      <c r="F5" s="180"/>
      <c r="G5" s="180"/>
      <c r="H5" s="180"/>
      <c r="I5" s="184" t="s">
        <v>294</v>
      </c>
      <c r="J5" s="184"/>
      <c r="K5" s="118">
        <f>вихідні!$C$87/1000</f>
        <v>0.0011</v>
      </c>
      <c r="L5" s="185" t="s">
        <v>183</v>
      </c>
      <c r="M5" s="185"/>
    </row>
    <row r="6" spans="1:13" ht="24.75" customHeight="1">
      <c r="A6" s="180" t="s">
        <v>186</v>
      </c>
      <c r="B6" s="180"/>
      <c r="C6" s="180"/>
      <c r="D6" s="180"/>
      <c r="E6" s="180"/>
      <c r="F6" s="180"/>
      <c r="G6" s="180"/>
      <c r="H6" s="180"/>
      <c r="I6" s="184" t="s">
        <v>295</v>
      </c>
      <c r="J6" s="184"/>
      <c r="K6" s="118">
        <f>вихідні!$B$87/1000</f>
        <v>0.003</v>
      </c>
      <c r="L6" s="185"/>
      <c r="M6" s="185"/>
    </row>
    <row r="7" spans="1:13" ht="21" customHeight="1">
      <c r="A7" s="180" t="s">
        <v>187</v>
      </c>
      <c r="B7" s="180"/>
      <c r="C7" s="180"/>
      <c r="D7" s="180"/>
      <c r="E7" s="180"/>
      <c r="F7" s="180"/>
      <c r="G7" s="180"/>
      <c r="H7" s="180"/>
      <c r="I7" s="192" t="s">
        <v>292</v>
      </c>
      <c r="J7" s="193"/>
      <c r="K7" s="118">
        <f>вихідні!$C$25</f>
        <v>0.3</v>
      </c>
      <c r="L7" s="185" t="s">
        <v>189</v>
      </c>
      <c r="M7" s="185"/>
    </row>
    <row r="8" spans="1:13" ht="21.75" customHeight="1">
      <c r="A8" s="180" t="s">
        <v>188</v>
      </c>
      <c r="B8" s="180"/>
      <c r="C8" s="180"/>
      <c r="D8" s="180"/>
      <c r="E8" s="180"/>
      <c r="F8" s="180"/>
      <c r="G8" s="180"/>
      <c r="H8" s="180"/>
      <c r="I8" s="192" t="s">
        <v>293</v>
      </c>
      <c r="J8" s="193"/>
      <c r="K8" s="118">
        <f>вихідні!$E$25</f>
        <v>1.1</v>
      </c>
      <c r="L8" s="185" t="s">
        <v>189</v>
      </c>
      <c r="M8" s="185"/>
    </row>
    <row r="9" spans="1:13" ht="21.75" customHeight="1">
      <c r="A9" s="186" t="s">
        <v>267</v>
      </c>
      <c r="B9" s="186"/>
      <c r="C9" s="186"/>
      <c r="D9" s="186"/>
      <c r="E9" s="186"/>
      <c r="F9" s="186"/>
      <c r="G9" s="186"/>
      <c r="H9" s="186"/>
      <c r="I9" s="184"/>
      <c r="J9" s="184"/>
      <c r="K9" s="118"/>
      <c r="L9" s="185"/>
      <c r="M9" s="185"/>
    </row>
    <row r="10" spans="1:13" ht="18.75">
      <c r="A10" s="183"/>
      <c r="B10" s="183"/>
      <c r="C10" s="183"/>
      <c r="D10" s="183"/>
      <c r="E10" s="183"/>
      <c r="F10" s="183"/>
      <c r="G10" s="183"/>
      <c r="H10" s="183"/>
      <c r="I10" s="184" t="s">
        <v>291</v>
      </c>
      <c r="J10" s="184"/>
      <c r="K10" s="119">
        <f>(D15/(SQRT(K5*K5+K6*K6)))/1000</f>
        <v>146.59514875152485</v>
      </c>
      <c r="L10" s="185" t="s">
        <v>181</v>
      </c>
      <c r="M10" s="185"/>
    </row>
    <row r="11" spans="1:16" ht="18">
      <c r="A11" s="195" t="s">
        <v>268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</row>
    <row r="12" ht="18">
      <c r="C12" s="89"/>
    </row>
    <row r="13" spans="1:16" ht="28.5" customHeight="1">
      <c r="A13" s="112" t="s">
        <v>284</v>
      </c>
      <c r="B13" s="112" t="s">
        <v>257</v>
      </c>
      <c r="C13" s="112" t="s">
        <v>285</v>
      </c>
      <c r="D13" s="112" t="s">
        <v>286</v>
      </c>
      <c r="E13" s="112" t="s">
        <v>287</v>
      </c>
      <c r="F13" s="112" t="s">
        <v>266</v>
      </c>
      <c r="G13" s="112" t="s">
        <v>258</v>
      </c>
      <c r="H13" s="112" t="s">
        <v>259</v>
      </c>
      <c r="I13" s="187" t="s">
        <v>288</v>
      </c>
      <c r="J13" s="189" t="s">
        <v>167</v>
      </c>
      <c r="K13" s="112" t="s">
        <v>260</v>
      </c>
      <c r="L13" s="112" t="s">
        <v>261</v>
      </c>
      <c r="M13" s="112" t="s">
        <v>262</v>
      </c>
      <c r="N13" s="113" t="s">
        <v>263</v>
      </c>
      <c r="O13" s="112" t="s">
        <v>264</v>
      </c>
      <c r="P13" s="112" t="s">
        <v>265</v>
      </c>
    </row>
    <row r="14" spans="1:16" ht="28.5" customHeight="1">
      <c r="A14" s="114" t="s">
        <v>181</v>
      </c>
      <c r="B14" s="114" t="s">
        <v>180</v>
      </c>
      <c r="C14" s="114" t="s">
        <v>179</v>
      </c>
      <c r="D14" s="114" t="s">
        <v>179</v>
      </c>
      <c r="E14" s="114" t="s">
        <v>179</v>
      </c>
      <c r="F14" s="114" t="s">
        <v>180</v>
      </c>
      <c r="G14" s="114" t="s">
        <v>180</v>
      </c>
      <c r="H14" s="114" t="s">
        <v>180</v>
      </c>
      <c r="I14" s="188"/>
      <c r="J14" s="190"/>
      <c r="K14" s="114" t="s">
        <v>282</v>
      </c>
      <c r="L14" s="117" t="s">
        <v>281</v>
      </c>
      <c r="M14" s="114" t="s">
        <v>283</v>
      </c>
      <c r="N14" s="115"/>
      <c r="O14" s="114" t="s">
        <v>290</v>
      </c>
      <c r="P14" s="116" t="s">
        <v>289</v>
      </c>
    </row>
    <row r="15" spans="1:16" ht="24.75" customHeight="1">
      <c r="A15" s="76">
        <f aca="true" t="shared" si="0" ref="A15:A46">E15/SQRT(($K$5*$K$5)+($K$6*$K$6))</f>
        <v>84636.74859358612</v>
      </c>
      <c r="B15" s="76">
        <f aca="true" t="shared" si="1" ref="B15:B46">3*A15^2*$K$5/1000</f>
        <v>23639.151401229876</v>
      </c>
      <c r="C15" s="76">
        <f>(SQRT(E15^2-((A15*$K$6/1000)^2)))-(A15*$K$5/1000)</f>
        <v>270.3473501181586</v>
      </c>
      <c r="D15" s="76">
        <f>друк!$C$39</f>
        <v>468.4168072120045</v>
      </c>
      <c r="E15" s="76">
        <f>друк!$C$39/SQRT(3)</f>
        <v>270.44056973679585</v>
      </c>
      <c r="F15" s="76">
        <f>C15/A15</f>
        <v>0.0031942076534193075</v>
      </c>
      <c r="G15" s="76">
        <f aca="true" t="shared" si="2" ref="G15:G46">((((A15*SQRT((D15^2-((A15*$K$6/1000)^2))))))-(A15*($K$5/1000))*3)*0.001</f>
        <v>39645.26944523372</v>
      </c>
      <c r="H15" s="76">
        <f aca="true" t="shared" si="3" ref="H15:H46">((((A15*SQRT((D15^2-((A15*$K$6/1000)^2))))))*3)*0.001</f>
        <v>118935.80917360497</v>
      </c>
      <c r="I15" s="76">
        <f aca="true" t="shared" si="4" ref="I15:I46">0.001*(SQRT(D15^2-(A15*$K$6/1000)^2))-(A15*$K$5/1000)/(A15*(G15+($K$5/1000)))</f>
        <v>0.46841673836689685</v>
      </c>
      <c r="J15" s="76">
        <f>(A15*(G15+$K$5*10^3))/E15</f>
        <v>12407679.094340146</v>
      </c>
      <c r="K15" s="76">
        <f>(G15-друк!$C$33/1000)/414</f>
        <v>95.74614851256773</v>
      </c>
      <c r="L15" s="76">
        <f>H15/K15</f>
        <v>1242.1994098069997</v>
      </c>
      <c r="M15" s="76">
        <f>0.001*414/(G15-друк!$C$33/1000)</f>
        <v>1.0444284344959727E-05</v>
      </c>
      <c r="N15" s="76">
        <f>414*K15/H15</f>
        <v>0.3332798234579125</v>
      </c>
      <c r="O15" s="76">
        <f>100*G15*C15/((друк!$C$15-друк!$C$18)/2)</f>
        <v>547905.0623367329</v>
      </c>
      <c r="P15" s="76">
        <f>G15*A15</f>
        <v>3355446702.9612274</v>
      </c>
    </row>
    <row r="16" spans="1:16" ht="24.75" customHeight="1">
      <c r="A16" s="76">
        <f t="shared" si="0"/>
        <v>84143.78002979895</v>
      </c>
      <c r="B16" s="76">
        <f t="shared" si="1"/>
        <v>23364.579868420533</v>
      </c>
      <c r="C16" s="76">
        <f aca="true" t="shared" si="5" ref="C16:C79">(SQRT(E16^2-((A16*$K$6/1000)^2)))-(A16*$K$5/1000)</f>
        <v>268.77270615881446</v>
      </c>
      <c r="D16" s="76">
        <f>D15-друк!$C$42</f>
        <v>466.84162029298534</v>
      </c>
      <c r="E16" s="76">
        <f>E15-друк!$C$42</f>
        <v>268.86538281777666</v>
      </c>
      <c r="F16" s="76">
        <f aca="true" t="shared" si="6" ref="F16:F37">0.01*C16/A16</f>
        <v>3.194207653419307E-05</v>
      </c>
      <c r="G16" s="76">
        <f t="shared" si="2"/>
        <v>39281.81258640725</v>
      </c>
      <c r="H16" s="76">
        <f t="shared" si="3"/>
        <v>117845.43859224518</v>
      </c>
      <c r="I16" s="76">
        <f t="shared" si="4"/>
        <v>0.46684155201744065</v>
      </c>
      <c r="J16" s="76">
        <f aca="true" t="shared" si="7" ref="J16:J47">(A16*(G16+$K$5))/D16</f>
        <v>7080174.830869215</v>
      </c>
      <c r="K16" s="76">
        <f>(G16-друк!$C$33/1000)/414</f>
        <v>94.8682333946294</v>
      </c>
      <c r="L16" s="76">
        <f aca="true" t="shared" si="8" ref="L16:L37">H16/K16</f>
        <v>1242.2012551033395</v>
      </c>
      <c r="M16" s="76">
        <f>0.001*414/(G16-друк!$C$33/1000)</f>
        <v>1.0540936246174594E-05</v>
      </c>
      <c r="N16" s="76">
        <f aca="true" t="shared" si="9" ref="N16:N44">414*K16/H16</f>
        <v>0.3332793283690243</v>
      </c>
      <c r="O16" s="76">
        <f>100*G16*C16/((друк!$C$15-друк!$C$18)/2)</f>
        <v>539719.9923409089</v>
      </c>
      <c r="P16" s="76">
        <f aca="true" t="shared" si="10" ref="P16:P37">G16*A16</f>
        <v>3305320197.442439</v>
      </c>
    </row>
    <row r="17" spans="1:16" ht="24.75" customHeight="1">
      <c r="A17" s="76">
        <f t="shared" si="0"/>
        <v>83650.81146601177</v>
      </c>
      <c r="B17" s="76">
        <f t="shared" si="1"/>
        <v>23091.612254443415</v>
      </c>
      <c r="C17" s="76">
        <f t="shared" si="5"/>
        <v>267.19806219947037</v>
      </c>
      <c r="D17" s="76">
        <f>D16-друк!$C$42</f>
        <v>465.26643337396615</v>
      </c>
      <c r="E17" s="76">
        <f>E16-друк!$C$42</f>
        <v>267.2901958987575</v>
      </c>
      <c r="F17" s="76">
        <f t="shared" si="6"/>
        <v>3.194207653419308E-05</v>
      </c>
      <c r="G17" s="76">
        <f t="shared" si="2"/>
        <v>38919.908762214836</v>
      </c>
      <c r="H17" s="76">
        <f t="shared" si="3"/>
        <v>116759.72711478751</v>
      </c>
      <c r="I17" s="76">
        <f t="shared" si="4"/>
        <v>0.4652663656671382</v>
      </c>
      <c r="J17" s="76">
        <f t="shared" si="7"/>
        <v>6997457.389197672</v>
      </c>
      <c r="K17" s="76">
        <f>(G17-друк!$C$33/1000)/414</f>
        <v>93.99406956807768</v>
      </c>
      <c r="L17" s="76">
        <f t="shared" si="8"/>
        <v>1242.203126764516</v>
      </c>
      <c r="M17" s="76">
        <f>0.001*414/(G17-друк!$C$33/1000)</f>
        <v>1.0638969081721947E-05</v>
      </c>
      <c r="N17" s="76">
        <f t="shared" si="9"/>
        <v>0.33327882620801186</v>
      </c>
      <c r="O17" s="76">
        <f>100*G17*C17/((друк!$C$15-друк!$C$18)/2)</f>
        <v>531614.6491813215</v>
      </c>
      <c r="P17" s="76">
        <f t="shared" si="10"/>
        <v>3255681950.1424127</v>
      </c>
    </row>
    <row r="18" spans="1:16" ht="24.75" customHeight="1">
      <c r="A18" s="76">
        <f t="shared" si="0"/>
        <v>83157.8429022246</v>
      </c>
      <c r="B18" s="76">
        <f t="shared" si="1"/>
        <v>22820.248559298518</v>
      </c>
      <c r="C18" s="76">
        <f t="shared" si="5"/>
        <v>265.6234182401263</v>
      </c>
      <c r="D18" s="76">
        <f>D17-друк!$C$42</f>
        <v>463.69124645494696</v>
      </c>
      <c r="E18" s="76">
        <f>E17-друк!$C$42</f>
        <v>265.7150089797383</v>
      </c>
      <c r="F18" s="76">
        <f t="shared" si="6"/>
        <v>3.194207653419308E-05</v>
      </c>
      <c r="G18" s="76">
        <f t="shared" si="2"/>
        <v>38559.55797265698</v>
      </c>
      <c r="H18" s="76">
        <f t="shared" si="3"/>
        <v>115678.67474123358</v>
      </c>
      <c r="I18" s="76">
        <f t="shared" si="4"/>
        <v>0.46369117931598086</v>
      </c>
      <c r="J18" s="76">
        <f t="shared" si="7"/>
        <v>6915225.983362638</v>
      </c>
      <c r="K18" s="76">
        <f>(G18-друк!$C$33/1000)/414</f>
        <v>93.12365703291377</v>
      </c>
      <c r="L18" s="76">
        <f t="shared" si="8"/>
        <v>1242.2050253068126</v>
      </c>
      <c r="M18" s="76">
        <f>0.001*414/(G18-друк!$C$33/1000)</f>
        <v>1.0738409893487737E-05</v>
      </c>
      <c r="N18" s="76">
        <f t="shared" si="9"/>
        <v>0.3332783168364224</v>
      </c>
      <c r="O18" s="76">
        <f>100*G18*C18/((друк!$C$15-друк!$C$18)/2)</f>
        <v>523588.6578188414</v>
      </c>
      <c r="P18" s="76">
        <f t="shared" si="10"/>
        <v>3206529664.269431</v>
      </c>
    </row>
    <row r="19" spans="1:16" ht="24.75" customHeight="1">
      <c r="A19" s="76">
        <f t="shared" si="0"/>
        <v>82664.87433843742</v>
      </c>
      <c r="B19" s="76">
        <f t="shared" si="1"/>
        <v>22550.488782985853</v>
      </c>
      <c r="C19" s="76">
        <f t="shared" si="5"/>
        <v>264.0487742807822</v>
      </c>
      <c r="D19" s="76">
        <f>D18-друк!$C$42</f>
        <v>462.1160595359278</v>
      </c>
      <c r="E19" s="76">
        <f>E18-друк!$C$42</f>
        <v>264.1398220607191</v>
      </c>
      <c r="F19" s="76">
        <f t="shared" si="6"/>
        <v>3.1942076534193086E-05</v>
      </c>
      <c r="G19" s="76">
        <f t="shared" si="2"/>
        <v>38200.76021773425</v>
      </c>
      <c r="H19" s="76">
        <f t="shared" si="3"/>
        <v>114602.281471585</v>
      </c>
      <c r="I19" s="76">
        <f t="shared" si="4"/>
        <v>0.4621159929639599</v>
      </c>
      <c r="J19" s="76">
        <f t="shared" si="7"/>
        <v>6833480.613364468</v>
      </c>
      <c r="K19" s="76">
        <f>(G19-друк!$C$33/1000)/414</f>
        <v>92.25699578913905</v>
      </c>
      <c r="L19" s="76">
        <f t="shared" si="8"/>
        <v>1242.2069512594787</v>
      </c>
      <c r="M19" s="76">
        <f>0.001*414/(G19-друк!$C$33/1000)</f>
        <v>1.0839286402578967E-05</v>
      </c>
      <c r="N19" s="76">
        <f t="shared" si="9"/>
        <v>0.33327780011232727</v>
      </c>
      <c r="O19" s="76">
        <f>100*G19*C19/((друк!$C$15-друк!$C$18)/2)</f>
        <v>515641.64321434055</v>
      </c>
      <c r="P19" s="76">
        <f t="shared" si="10"/>
        <v>3157861043.031781</v>
      </c>
    </row>
    <row r="20" spans="1:16" ht="24.75" customHeight="1">
      <c r="A20" s="76">
        <f t="shared" si="0"/>
        <v>82171.90577465025</v>
      </c>
      <c r="B20" s="76">
        <f t="shared" si="1"/>
        <v>22282.3329255054</v>
      </c>
      <c r="C20" s="76">
        <f t="shared" si="5"/>
        <v>262.47413032143805</v>
      </c>
      <c r="D20" s="76">
        <f>D19-друк!$C$42</f>
        <v>460.5408726169086</v>
      </c>
      <c r="E20" s="76">
        <f>E19-друк!$C$42</f>
        <v>262.5646351416999</v>
      </c>
      <c r="F20" s="76">
        <f t="shared" si="6"/>
        <v>3.194207653419308E-05</v>
      </c>
      <c r="G20" s="76">
        <f t="shared" si="2"/>
        <v>37843.51549744718</v>
      </c>
      <c r="H20" s="76">
        <f t="shared" si="3"/>
        <v>113530.54730584339</v>
      </c>
      <c r="I20" s="76">
        <f t="shared" si="4"/>
        <v>0.46054080661106633</v>
      </c>
      <c r="J20" s="76">
        <f t="shared" si="7"/>
        <v>6752221.279203509</v>
      </c>
      <c r="K20" s="76">
        <f>(G20-друк!$C$33/1000)/414</f>
        <v>91.39408583675484</v>
      </c>
      <c r="L20" s="76">
        <f t="shared" si="8"/>
        <v>1242.2089051651326</v>
      </c>
      <c r="M20" s="76">
        <f>0.001*414/(G20-друк!$C$33/1000)</f>
        <v>1.0941627030289113E-05</v>
      </c>
      <c r="N20" s="76">
        <f t="shared" si="9"/>
        <v>0.3332772758902135</v>
      </c>
      <c r="O20" s="76">
        <f>100*G20*C20/((друк!$C$15-друк!$C$18)/2)</f>
        <v>507773.2303286897</v>
      </c>
      <c r="P20" s="76">
        <f t="shared" si="10"/>
        <v>3109673789.6377463</v>
      </c>
    </row>
    <row r="21" spans="1:16" ht="24.75" customHeight="1">
      <c r="A21" s="76">
        <f t="shared" si="0"/>
        <v>81678.93721086309</v>
      </c>
      <c r="B21" s="76">
        <f t="shared" si="1"/>
        <v>22015.780986857182</v>
      </c>
      <c r="C21" s="76">
        <f t="shared" si="5"/>
        <v>260.89948636209397</v>
      </c>
      <c r="D21" s="76">
        <f>D20-друк!$C$42</f>
        <v>458.9656856978894</v>
      </c>
      <c r="E21" s="76">
        <f>E20-друк!$C$42</f>
        <v>260.9894482226807</v>
      </c>
      <c r="F21" s="76">
        <f t="shared" si="6"/>
        <v>3.194207653419308E-05</v>
      </c>
      <c r="G21" s="76">
        <f t="shared" si="2"/>
        <v>37487.82381179632</v>
      </c>
      <c r="H21" s="76">
        <f t="shared" si="3"/>
        <v>112463.47224401044</v>
      </c>
      <c r="I21" s="76">
        <f t="shared" si="4"/>
        <v>0.45896562025729115</v>
      </c>
      <c r="J21" s="76">
        <f t="shared" si="7"/>
        <v>6671447.980880113</v>
      </c>
      <c r="K21" s="76">
        <f>(G21-друк!$C$33/1000)/414</f>
        <v>90.53492717576242</v>
      </c>
      <c r="L21" s="76">
        <f t="shared" si="8"/>
        <v>1242.2108875801762</v>
      </c>
      <c r="M21" s="76">
        <f>0.001*414/(G21-друк!$C$33/1000)</f>
        <v>1.1045460919835095E-05</v>
      </c>
      <c r="N21" s="76">
        <f t="shared" si="9"/>
        <v>0.33327674402087315</v>
      </c>
      <c r="O21" s="76">
        <f>100*G21*C21/((друк!$C$15-друк!$C$18)/2)</f>
        <v>499983.04412276</v>
      </c>
      <c r="P21" s="76">
        <f t="shared" si="10"/>
        <v>3061965607.29561</v>
      </c>
    </row>
    <row r="22" spans="1:16" ht="24.75" customHeight="1">
      <c r="A22" s="76">
        <f t="shared" si="0"/>
        <v>81185.96864707592</v>
      </c>
      <c r="B22" s="76">
        <f t="shared" si="1"/>
        <v>21750.83296704118</v>
      </c>
      <c r="C22" s="76">
        <f t="shared" si="5"/>
        <v>259.3248424027498</v>
      </c>
      <c r="D22" s="76">
        <f>D21-друк!$C$42</f>
        <v>457.3904987788702</v>
      </c>
      <c r="E22" s="76">
        <f>E21-друк!$C$42</f>
        <v>259.41426130366153</v>
      </c>
      <c r="F22" s="76">
        <f t="shared" si="6"/>
        <v>3.194207653419307E-05</v>
      </c>
      <c r="G22" s="76">
        <f t="shared" si="2"/>
        <v>37133.68516078223</v>
      </c>
      <c r="H22" s="76">
        <f t="shared" si="3"/>
        <v>111401.0562860878</v>
      </c>
      <c r="I22" s="76">
        <f t="shared" si="4"/>
        <v>0.4573904339026253</v>
      </c>
      <c r="J22" s="76">
        <f t="shared" si="7"/>
        <v>6591160.718394639</v>
      </c>
      <c r="K22" s="76">
        <f>(G22-друк!$C$33/1000)/414</f>
        <v>89.67951980616317</v>
      </c>
      <c r="L22" s="76">
        <f t="shared" si="8"/>
        <v>1242.2128990752226</v>
      </c>
      <c r="M22" s="76">
        <f>0.001*414/(G22-друк!$C$33/1000)</f>
        <v>1.1150817958898969E-05</v>
      </c>
      <c r="N22" s="76">
        <f t="shared" si="9"/>
        <v>0.3332762043512882</v>
      </c>
      <c r="O22" s="76">
        <f>100*G22*C22/((друк!$C$15-друк!$C$18)/2)</f>
        <v>492270.70955742255</v>
      </c>
      <c r="P22" s="76">
        <f t="shared" si="10"/>
        <v>3014734199.2136545</v>
      </c>
    </row>
    <row r="23" spans="1:16" ht="24.75" customHeight="1">
      <c r="A23" s="76">
        <f t="shared" si="0"/>
        <v>80693.00008328875</v>
      </c>
      <c r="B23" s="76">
        <f t="shared" si="1"/>
        <v>21487.488866057407</v>
      </c>
      <c r="C23" s="76">
        <f t="shared" si="5"/>
        <v>257.75019844340574</v>
      </c>
      <c r="D23" s="76">
        <f>D22-друк!$C$42</f>
        <v>455.815311859851</v>
      </c>
      <c r="E23" s="76">
        <f>E22-друк!$C$42</f>
        <v>257.83907438464234</v>
      </c>
      <c r="F23" s="76">
        <f t="shared" si="6"/>
        <v>3.194207653419307E-05</v>
      </c>
      <c r="G23" s="76">
        <f t="shared" si="2"/>
        <v>36781.09954440551</v>
      </c>
      <c r="H23" s="76">
        <f t="shared" si="3"/>
        <v>110343.29943207723</v>
      </c>
      <c r="I23" s="76">
        <f t="shared" si="4"/>
        <v>0.45581524754705943</v>
      </c>
      <c r="J23" s="76">
        <f t="shared" si="7"/>
        <v>6511359.491747451</v>
      </c>
      <c r="K23" s="76">
        <f>(G23-друк!$C$33/1000)/414</f>
        <v>88.82786372795853</v>
      </c>
      <c r="L23" s="76">
        <f t="shared" si="8"/>
        <v>1242.214940235546</v>
      </c>
      <c r="M23" s="76">
        <f>0.001*414/(G23-друк!$C$33/1000)</f>
        <v>1.1257728803009034E-05</v>
      </c>
      <c r="N23" s="76">
        <f t="shared" si="9"/>
        <v>0.33327565672451037</v>
      </c>
      <c r="O23" s="76">
        <f>100*G23*C23/((друк!$C$15-друк!$C$18)/2)</f>
        <v>484635.85159354866</v>
      </c>
      <c r="P23" s="76">
        <f t="shared" si="10"/>
        <v>2967977268.6001654</v>
      </c>
    </row>
    <row r="24" spans="1:16" ht="24.75" customHeight="1">
      <c r="A24" s="76">
        <f t="shared" si="0"/>
        <v>80200.03151950157</v>
      </c>
      <c r="B24" s="76">
        <f t="shared" si="1"/>
        <v>21225.74868390585</v>
      </c>
      <c r="C24" s="76">
        <f t="shared" si="5"/>
        <v>256.17555448406165</v>
      </c>
      <c r="D24" s="76">
        <f>D23-друк!$C$42</f>
        <v>454.24012494083183</v>
      </c>
      <c r="E24" s="76">
        <f>E23-друк!$C$42</f>
        <v>256.26388746562316</v>
      </c>
      <c r="F24" s="76">
        <f t="shared" si="6"/>
        <v>3.194207653419308E-05</v>
      </c>
      <c r="G24" s="76">
        <f t="shared" si="2"/>
        <v>36430.06696266669</v>
      </c>
      <c r="H24" s="76">
        <f t="shared" si="3"/>
        <v>109290.20168198038</v>
      </c>
      <c r="I24" s="76">
        <f t="shared" si="4"/>
        <v>0.45424006119058413</v>
      </c>
      <c r="J24" s="76">
        <f t="shared" si="7"/>
        <v>6432044.300938911</v>
      </c>
      <c r="K24" s="76">
        <f>(G24-друк!$C$33/1000)/414</f>
        <v>87.97995894114979</v>
      </c>
      <c r="L24" s="76">
        <f t="shared" si="8"/>
        <v>1242.2170116615434</v>
      </c>
      <c r="M24" s="76">
        <f>0.001*414/(G24-друк!$C$33/1000)</f>
        <v>1.1366224899796836E-05</v>
      </c>
      <c r="N24" s="76">
        <f t="shared" si="9"/>
        <v>0.33327510097953733</v>
      </c>
      <c r="O24" s="76">
        <f>100*G24*C24/((друк!$C$15-друк!$C$18)/2)</f>
        <v>477078.09519200865</v>
      </c>
      <c r="P24" s="76">
        <f t="shared" si="10"/>
        <v>2921692518.6634216</v>
      </c>
    </row>
    <row r="25" spans="1:16" ht="24.75" customHeight="1">
      <c r="A25" s="76">
        <f t="shared" si="0"/>
        <v>79707.0629557144</v>
      </c>
      <c r="B25" s="76">
        <f t="shared" si="1"/>
        <v>20965.612420586524</v>
      </c>
      <c r="C25" s="76">
        <f t="shared" si="5"/>
        <v>254.6009105247175</v>
      </c>
      <c r="D25" s="76">
        <f>D24-друк!$C$42</f>
        <v>452.66493802181265</v>
      </c>
      <c r="E25" s="76">
        <f>E24-друк!$C$42</f>
        <v>254.68870054660397</v>
      </c>
      <c r="F25" s="76">
        <f t="shared" si="6"/>
        <v>3.194207653419308E-05</v>
      </c>
      <c r="G25" s="76">
        <f t="shared" si="2"/>
        <v>36080.58741556639</v>
      </c>
      <c r="H25" s="76">
        <f t="shared" si="3"/>
        <v>108241.7630357991</v>
      </c>
      <c r="I25" s="76">
        <f t="shared" si="4"/>
        <v>0.45266487483318985</v>
      </c>
      <c r="J25" s="76">
        <f t="shared" si="7"/>
        <v>6353215.145969393</v>
      </c>
      <c r="K25" s="76">
        <f>(G25-друк!$C$33/1000)/414</f>
        <v>87.13580544573844</v>
      </c>
      <c r="L25" s="76">
        <f t="shared" si="8"/>
        <v>1242.219113969215</v>
      </c>
      <c r="M25" s="76">
        <f>0.001*414/(G25-друк!$C$33/1000)</f>
        <v>1.1476338514168257E-05</v>
      </c>
      <c r="N25" s="76">
        <f t="shared" si="9"/>
        <v>0.33327453695118386</v>
      </c>
      <c r="O25" s="76">
        <f>100*G25*C25/((друк!$C$15-друк!$C$18)/2)</f>
        <v>469597.0653136736</v>
      </c>
      <c r="P25" s="76">
        <f t="shared" si="10"/>
        <v>2875877652.611707</v>
      </c>
    </row>
    <row r="26" spans="1:16" ht="24.75" customHeight="1">
      <c r="A26" s="76">
        <f t="shared" si="0"/>
        <v>79214.09439192722</v>
      </c>
      <c r="B26" s="76">
        <f t="shared" si="1"/>
        <v>20707.080076099417</v>
      </c>
      <c r="C26" s="76">
        <f t="shared" si="5"/>
        <v>253.02626656537342</v>
      </c>
      <c r="D26" s="76">
        <f>D25-друк!$C$42</f>
        <v>451.08975110279346</v>
      </c>
      <c r="E26" s="76">
        <f>E25-друк!$C$42</f>
        <v>253.11351362758478</v>
      </c>
      <c r="F26" s="76">
        <f t="shared" si="6"/>
        <v>3.194207653419308E-05</v>
      </c>
      <c r="G26" s="76">
        <f t="shared" si="2"/>
        <v>35732.66090310519</v>
      </c>
      <c r="H26" s="76">
        <f t="shared" si="3"/>
        <v>107197.98349353511</v>
      </c>
      <c r="I26" s="76">
        <f t="shared" si="4"/>
        <v>0.451089688474867</v>
      </c>
      <c r="J26" s="76">
        <f t="shared" si="7"/>
        <v>6274872.0268392665</v>
      </c>
      <c r="K26" s="76">
        <f>(G26-друк!$C$33/1000)/414</f>
        <v>86.29540324172588</v>
      </c>
      <c r="L26" s="76">
        <f t="shared" si="8"/>
        <v>1242.2212477906626</v>
      </c>
      <c r="M26" s="76">
        <f>0.001*414/(G26-друк!$C$33/1000)</f>
        <v>1.1588102754428945E-05</v>
      </c>
      <c r="N26" s="76">
        <f t="shared" si="9"/>
        <v>0.3332739644699482</v>
      </c>
      <c r="O26" s="76">
        <f>100*G26*C26/((друк!$C$15-друк!$C$18)/2)</f>
        <v>462192.38691941416</v>
      </c>
      <c r="P26" s="76">
        <f t="shared" si="10"/>
        <v>2830530373.653302</v>
      </c>
    </row>
    <row r="27" spans="1:16" ht="24.75" customHeight="1">
      <c r="A27" s="76">
        <f t="shared" si="0"/>
        <v>78721.12582814007</v>
      </c>
      <c r="B27" s="76">
        <f t="shared" si="1"/>
        <v>20450.151650444546</v>
      </c>
      <c r="C27" s="76">
        <f t="shared" si="5"/>
        <v>251.4516226060293</v>
      </c>
      <c r="D27" s="76">
        <f>D26-друк!$C$42</f>
        <v>449.51456418377427</v>
      </c>
      <c r="E27" s="76">
        <f>E26-друк!$C$42</f>
        <v>251.5383267085656</v>
      </c>
      <c r="F27" s="76">
        <f t="shared" si="6"/>
        <v>3.194207653419307E-05</v>
      </c>
      <c r="G27" s="76">
        <f t="shared" si="2"/>
        <v>35386.2874252837</v>
      </c>
      <c r="H27" s="76">
        <f t="shared" si="3"/>
        <v>106158.86305519023</v>
      </c>
      <c r="I27" s="76">
        <f t="shared" si="4"/>
        <v>0.44951450211560573</v>
      </c>
      <c r="J27" s="76">
        <f t="shared" si="7"/>
        <v>6197014.943548915</v>
      </c>
      <c r="K27" s="76">
        <f>(G27-друк!$C$33/1000)/414</f>
        <v>85.45875232911358</v>
      </c>
      <c r="L27" s="76">
        <f t="shared" si="8"/>
        <v>1242.2234137746084</v>
      </c>
      <c r="M27" s="76">
        <f>0.001*414/(G27-друк!$C$33/1000)</f>
        <v>1.1701551599406232E-05</v>
      </c>
      <c r="N27" s="76">
        <f t="shared" si="9"/>
        <v>0.3332733833618733</v>
      </c>
      <c r="O27" s="76">
        <f>100*G27*C27/((друк!$C$15-друк!$C$18)/2)</f>
        <v>454863.6849701011</v>
      </c>
      <c r="P27" s="76">
        <f t="shared" si="10"/>
        <v>2785648384.9964886</v>
      </c>
    </row>
    <row r="28" spans="1:16" ht="24.75" customHeight="1">
      <c r="A28" s="76">
        <f t="shared" si="0"/>
        <v>78228.15726435289</v>
      </c>
      <c r="B28" s="76">
        <f t="shared" si="1"/>
        <v>20194.827143621886</v>
      </c>
      <c r="C28" s="76">
        <f t="shared" si="5"/>
        <v>249.87697864668522</v>
      </c>
      <c r="D28" s="76">
        <f>D27-друк!$C$42</f>
        <v>447.9393772647551</v>
      </c>
      <c r="E28" s="76">
        <f>E27-друк!$C$42</f>
        <v>249.9631397895464</v>
      </c>
      <c r="F28" s="76">
        <f t="shared" si="6"/>
        <v>3.194207653419308E-05</v>
      </c>
      <c r="G28" s="76">
        <f t="shared" si="2"/>
        <v>35041.46698210253</v>
      </c>
      <c r="H28" s="76">
        <f t="shared" si="3"/>
        <v>105124.40172076634</v>
      </c>
      <c r="I28" s="76">
        <f t="shared" si="4"/>
        <v>0.4479393157553961</v>
      </c>
      <c r="J28" s="76">
        <f t="shared" si="7"/>
        <v>6119643.896098718</v>
      </c>
      <c r="K28" s="76">
        <f>(G28-друк!$C$33/1000)/414</f>
        <v>84.62585270790302</v>
      </c>
      <c r="L28" s="76">
        <f t="shared" si="8"/>
        <v>1242.2256125869324</v>
      </c>
      <c r="M28" s="76">
        <f>0.001*414/(G28-друк!$C$33/1000)</f>
        <v>1.1816719926611886E-05</v>
      </c>
      <c r="N28" s="76">
        <f t="shared" si="9"/>
        <v>0.33327279344840255</v>
      </c>
      <c r="O28" s="76">
        <f>100*G28*C28/((друк!$C$15-друк!$C$18)/2)</f>
        <v>447610.5844266049</v>
      </c>
      <c r="P28" s="76">
        <f t="shared" si="10"/>
        <v>2741229389.849546</v>
      </c>
    </row>
    <row r="29" spans="1:16" ht="24.75" customHeight="1">
      <c r="A29" s="76">
        <f t="shared" si="0"/>
        <v>77735.18870056572</v>
      </c>
      <c r="B29" s="76">
        <f t="shared" si="1"/>
        <v>19941.106555631446</v>
      </c>
      <c r="C29" s="76">
        <f t="shared" si="5"/>
        <v>248.3023346873411</v>
      </c>
      <c r="D29" s="76">
        <f>D28-друк!$C$42</f>
        <v>446.3641903457359</v>
      </c>
      <c r="E29" s="76">
        <f>E28-друк!$C$42</f>
        <v>248.38795287052722</v>
      </c>
      <c r="F29" s="76">
        <f t="shared" si="6"/>
        <v>3.194207653419308E-05</v>
      </c>
      <c r="G29" s="76">
        <f t="shared" si="2"/>
        <v>34698.19957356228</v>
      </c>
      <c r="H29" s="76">
        <f t="shared" si="3"/>
        <v>104094.59949026519</v>
      </c>
      <c r="I29" s="76">
        <f t="shared" si="4"/>
        <v>0.446364129394228</v>
      </c>
      <c r="J29" s="76">
        <f t="shared" si="7"/>
        <v>6042758.884489057</v>
      </c>
      <c r="K29" s="76">
        <f>(G29-друк!$C$33/1000)/414</f>
        <v>83.79670437809565</v>
      </c>
      <c r="L29" s="76">
        <f t="shared" si="8"/>
        <v>1242.2278449112298</v>
      </c>
      <c r="M29" s="76">
        <f>0.001*414/(G29-друк!$C$33/1000)</f>
        <v>1.1933643541492293E-05</v>
      </c>
      <c r="N29" s="76">
        <f t="shared" si="9"/>
        <v>0.3332721945462304</v>
      </c>
      <c r="O29" s="76">
        <f>100*G29*C29/((друк!$C$15-друк!$C$18)/2)</f>
        <v>440432.71024979575</v>
      </c>
      <c r="P29" s="76">
        <f t="shared" si="10"/>
        <v>2697271091.4207525</v>
      </c>
    </row>
    <row r="30" spans="1:16" ht="24.75" customHeight="1">
      <c r="A30" s="76">
        <f t="shared" si="0"/>
        <v>77242.22013677855</v>
      </c>
      <c r="B30" s="76">
        <f t="shared" si="1"/>
        <v>19688.98988647324</v>
      </c>
      <c r="C30" s="76">
        <f t="shared" si="5"/>
        <v>246.727690727997</v>
      </c>
      <c r="D30" s="76">
        <f>D29-друк!$C$42</f>
        <v>444.7890034267167</v>
      </c>
      <c r="E30" s="76">
        <f>E29-друк!$C$42</f>
        <v>246.81276595150803</v>
      </c>
      <c r="F30" s="76">
        <f t="shared" si="6"/>
        <v>3.194207653419307E-05</v>
      </c>
      <c r="G30" s="76">
        <f t="shared" si="2"/>
        <v>34356.48519966359</v>
      </c>
      <c r="H30" s="76">
        <f t="shared" si="3"/>
        <v>103069.45636368875</v>
      </c>
      <c r="I30" s="76">
        <f t="shared" si="4"/>
        <v>0.44478894303209116</v>
      </c>
      <c r="J30" s="76">
        <f t="shared" si="7"/>
        <v>5966359.9087203285</v>
      </c>
      <c r="K30" s="76">
        <f>(G30-друк!$C$33/1000)/414</f>
        <v>82.97130733969303</v>
      </c>
      <c r="L30" s="76">
        <f t="shared" si="8"/>
        <v>1242.2301114493935</v>
      </c>
      <c r="M30" s="76">
        <f>0.001*414/(G30-друк!$C$33/1000)</f>
        <v>1.205235920781503E-05</v>
      </c>
      <c r="N30" s="76">
        <f t="shared" si="9"/>
        <v>0.33327158646714683</v>
      </c>
      <c r="O30" s="76">
        <f>100*G30*C30/((друк!$C$15-друк!$C$18)/2)</f>
        <v>433329.68740054435</v>
      </c>
      <c r="P30" s="76">
        <f t="shared" si="10"/>
        <v>2653771192.9183893</v>
      </c>
    </row>
    <row r="31" spans="1:16" ht="24.75" customHeight="1">
      <c r="A31" s="76">
        <f t="shared" si="0"/>
        <v>76749.25157299137</v>
      </c>
      <c r="B31" s="76">
        <f t="shared" si="1"/>
        <v>19438.47713614725</v>
      </c>
      <c r="C31" s="76">
        <f t="shared" si="5"/>
        <v>245.15304676865287</v>
      </c>
      <c r="D31" s="76">
        <f>D30-друк!$C$42</f>
        <v>443.2138165076975</v>
      </c>
      <c r="E31" s="76">
        <f>E30-друк!$C$42</f>
        <v>245.23757903248884</v>
      </c>
      <c r="F31" s="76">
        <f t="shared" si="6"/>
        <v>3.194207653419307E-05</v>
      </c>
      <c r="G31" s="76">
        <f t="shared" si="2"/>
        <v>34016.3238604071</v>
      </c>
      <c r="H31" s="76">
        <f t="shared" si="3"/>
        <v>102048.9723410389</v>
      </c>
      <c r="I31" s="76">
        <f t="shared" si="4"/>
        <v>0.4432137566689753</v>
      </c>
      <c r="J31" s="76">
        <f t="shared" si="7"/>
        <v>5890446.968792925</v>
      </c>
      <c r="K31" s="76">
        <f>(G31-друк!$C$33/1000)/414</f>
        <v>82.14966159269667</v>
      </c>
      <c r="L31" s="76">
        <f t="shared" si="8"/>
        <v>1242.2324129222138</v>
      </c>
      <c r="M31" s="76">
        <f>0.001*414/(G31-друк!$C$33/1000)</f>
        <v>1.217290467924341E-05</v>
      </c>
      <c r="N31" s="76">
        <f t="shared" si="9"/>
        <v>0.3332709690178756</v>
      </c>
      <c r="O31" s="76">
        <f>100*G31*C31/((друк!$C$15-друк!$C$18)/2)</f>
        <v>426301.1408397207</v>
      </c>
      <c r="P31" s="76">
        <f t="shared" si="10"/>
        <v>2610727397.5507336</v>
      </c>
    </row>
    <row r="32" spans="1:16" ht="24.75" customHeight="1">
      <c r="A32" s="76">
        <f t="shared" si="0"/>
        <v>76256.2830092042</v>
      </c>
      <c r="B32" s="76">
        <f t="shared" si="1"/>
        <v>19189.568304653487</v>
      </c>
      <c r="C32" s="76">
        <f t="shared" si="5"/>
        <v>243.57840280930878</v>
      </c>
      <c r="D32" s="76">
        <f>D31-друк!$C$42</f>
        <v>441.6386295886783</v>
      </c>
      <c r="E32" s="76">
        <f>E31-друк!$C$42</f>
        <v>243.66239211346965</v>
      </c>
      <c r="F32" s="76">
        <f t="shared" si="6"/>
        <v>3.194207653419308E-05</v>
      </c>
      <c r="G32" s="76">
        <f t="shared" si="2"/>
        <v>33677.715555793475</v>
      </c>
      <c r="H32" s="76">
        <f t="shared" si="3"/>
        <v>101033.14742231762</v>
      </c>
      <c r="I32" s="76">
        <f t="shared" si="4"/>
        <v>0.4416385703048699</v>
      </c>
      <c r="J32" s="76">
        <f t="shared" si="7"/>
        <v>5815020.064707249</v>
      </c>
      <c r="K32" s="76">
        <f>(G32-друк!$C$33/1000)/414</f>
        <v>81.3317671371082</v>
      </c>
      <c r="L32" s="76">
        <f t="shared" si="8"/>
        <v>1242.234750070007</v>
      </c>
      <c r="M32" s="76">
        <f>0.001*414/(G32-друк!$C$33/1000)</f>
        <v>1.2295318732153096E-05</v>
      </c>
      <c r="N32" s="76">
        <f t="shared" si="9"/>
        <v>0.3332703419999068</v>
      </c>
      <c r="O32" s="76">
        <f>100*G32*C32/((друк!$C$15-друк!$C$18)/2)</f>
        <v>419346.69552819565</v>
      </c>
      <c r="P32" s="76">
        <f t="shared" si="10"/>
        <v>2568137408.526066</v>
      </c>
    </row>
    <row r="33" spans="1:16" ht="24.75" customHeight="1">
      <c r="A33" s="76">
        <f t="shared" si="0"/>
        <v>75763.31444541704</v>
      </c>
      <c r="B33" s="76">
        <f t="shared" si="1"/>
        <v>18942.263391991957</v>
      </c>
      <c r="C33" s="76">
        <f t="shared" si="5"/>
        <v>242.00375884996467</v>
      </c>
      <c r="D33" s="76">
        <f>D32-друк!$C$42</f>
        <v>440.06344266965914</v>
      </c>
      <c r="E33" s="76">
        <f>E32-друк!$C$42</f>
        <v>242.08720519445046</v>
      </c>
      <c r="F33" s="76">
        <f t="shared" si="6"/>
        <v>3.194207653419307E-05</v>
      </c>
      <c r="G33" s="76">
        <f t="shared" si="2"/>
        <v>33340.66028582334</v>
      </c>
      <c r="H33" s="76">
        <f t="shared" si="3"/>
        <v>100021.98160752685</v>
      </c>
      <c r="I33" s="76">
        <f t="shared" si="4"/>
        <v>0.4400633839397641</v>
      </c>
      <c r="J33" s="76">
        <f t="shared" si="7"/>
        <v>5740079.196463701</v>
      </c>
      <c r="K33" s="76">
        <f>(G33-друк!$C$33/1000)/414</f>
        <v>80.51762397292913</v>
      </c>
      <c r="L33" s="76">
        <f t="shared" si="8"/>
        <v>1242.2371236532674</v>
      </c>
      <c r="M33" s="76">
        <f>0.001*414/(G33-друк!$C$33/1000)</f>
        <v>1.2419641199747904E-05</v>
      </c>
      <c r="N33" s="76">
        <f t="shared" si="9"/>
        <v>0.3332697052093216</v>
      </c>
      <c r="O33" s="76">
        <f>100*G33*C33/((друк!$C$15-друк!$C$18)/2)</f>
        <v>412465.9764268385</v>
      </c>
      <c r="P33" s="76">
        <f t="shared" si="10"/>
        <v>2525998929.0526614</v>
      </c>
    </row>
    <row r="34" spans="1:16" ht="24.75" customHeight="1">
      <c r="A34" s="76">
        <f t="shared" si="0"/>
        <v>75270.34588162987</v>
      </c>
      <c r="B34" s="76">
        <f t="shared" si="1"/>
        <v>18696.56239816264</v>
      </c>
      <c r="C34" s="76">
        <f t="shared" si="5"/>
        <v>240.42911489062055</v>
      </c>
      <c r="D34" s="76">
        <f>D33-друк!$C$42</f>
        <v>438.48825575063995</v>
      </c>
      <c r="E34" s="76">
        <f>E33-друк!$C$42</f>
        <v>240.51201827543127</v>
      </c>
      <c r="F34" s="76">
        <f t="shared" si="6"/>
        <v>3.194207653419307E-05</v>
      </c>
      <c r="G34" s="76">
        <f t="shared" si="2"/>
        <v>33005.15805049736</v>
      </c>
      <c r="H34" s="76">
        <f t="shared" si="3"/>
        <v>99015.47489666851</v>
      </c>
      <c r="I34" s="76">
        <f t="shared" si="4"/>
        <v>0.4384881975736473</v>
      </c>
      <c r="J34" s="76">
        <f t="shared" si="7"/>
        <v>5665624.36406269</v>
      </c>
      <c r="K34" s="76">
        <f>(G34-друк!$C$33/1000)/414</f>
        <v>79.70723210016106</v>
      </c>
      <c r="L34" s="76">
        <f t="shared" si="8"/>
        <v>1242.2395344533415</v>
      </c>
      <c r="M34" s="76">
        <f>0.001*414/(G34-друк!$C$33/1000)</f>
        <v>1.2545913007534724E-05</v>
      </c>
      <c r="N34" s="76">
        <f t="shared" si="9"/>
        <v>0.33326905843661175</v>
      </c>
      <c r="O34" s="76">
        <f>100*G34*C34/((друк!$C$15-друк!$C$18)/2)</f>
        <v>405658.60849651956</v>
      </c>
      <c r="P34" s="76">
        <f t="shared" si="10"/>
        <v>2484309662.3387966</v>
      </c>
    </row>
    <row r="35" spans="1:16" ht="24.75" customHeight="1">
      <c r="A35" s="76">
        <f t="shared" si="0"/>
        <v>74777.37731784269</v>
      </c>
      <c r="B35" s="76">
        <f t="shared" si="1"/>
        <v>18452.46532316555</v>
      </c>
      <c r="C35" s="76">
        <f t="shared" si="5"/>
        <v>238.85447093127647</v>
      </c>
      <c r="D35" s="76">
        <f>D34-друк!$C$42</f>
        <v>436.91306883162076</v>
      </c>
      <c r="E35" s="76">
        <f>E34-друк!$C$42</f>
        <v>238.93683135641209</v>
      </c>
      <c r="F35" s="76">
        <f t="shared" si="6"/>
        <v>3.194207653419307E-05</v>
      </c>
      <c r="G35" s="76">
        <f t="shared" si="2"/>
        <v>32671.208849816227</v>
      </c>
      <c r="H35" s="76">
        <f t="shared" si="3"/>
        <v>98013.6272897447</v>
      </c>
      <c r="I35" s="76">
        <f t="shared" si="4"/>
        <v>0.43691301120650833</v>
      </c>
      <c r="J35" s="76">
        <f t="shared" si="7"/>
        <v>5591655.567504628</v>
      </c>
      <c r="K35" s="76">
        <f>(G35-друк!$C$33/1000)/414</f>
        <v>78.90059151880567</v>
      </c>
      <c r="L35" s="76">
        <f t="shared" si="8"/>
        <v>1242.2419832731357</v>
      </c>
      <c r="M35" s="76">
        <f>0.001*414/(G35-друк!$C$33/1000)</f>
        <v>1.2674176210220854E-05</v>
      </c>
      <c r="N35" s="76">
        <f t="shared" si="9"/>
        <v>0.3332684014664899</v>
      </c>
      <c r="O35" s="76">
        <f>100*G35*C35/((друк!$C$15-друк!$C$18)/2)</f>
        <v>398924.2166981089</v>
      </c>
      <c r="P35" s="76">
        <f t="shared" si="10"/>
        <v>2443067311.592749</v>
      </c>
    </row>
    <row r="36" spans="1:16" ht="24.75" customHeight="1">
      <c r="A36" s="76">
        <f t="shared" si="0"/>
        <v>74284.40875405552</v>
      </c>
      <c r="B36" s="76">
        <f t="shared" si="1"/>
        <v>18209.97216700068</v>
      </c>
      <c r="C36" s="76">
        <f t="shared" si="5"/>
        <v>237.27982697193232</v>
      </c>
      <c r="D36" s="76">
        <f>D35-друк!$C$42</f>
        <v>435.3378819126016</v>
      </c>
      <c r="E36" s="76">
        <f>E35-друк!$C$42</f>
        <v>237.3616444373929</v>
      </c>
      <c r="F36" s="76">
        <f t="shared" si="6"/>
        <v>3.194207653419307E-05</v>
      </c>
      <c r="G36" s="76">
        <f t="shared" si="2"/>
        <v>32338.812683780612</v>
      </c>
      <c r="H36" s="76">
        <f t="shared" si="3"/>
        <v>97016.43878675747</v>
      </c>
      <c r="I36" s="76">
        <f t="shared" si="4"/>
        <v>0.43533782483833616</v>
      </c>
      <c r="J36" s="76">
        <f t="shared" si="7"/>
        <v>5518172.80678993</v>
      </c>
      <c r="K36" s="76">
        <f>(G36-друк!$C$33/1000)/414</f>
        <v>78.09770222886458</v>
      </c>
      <c r="L36" s="76">
        <f t="shared" si="8"/>
        <v>1242.244470937848</v>
      </c>
      <c r="M36" s="76">
        <f>0.001*414/(G36-друк!$C$33/1000)</f>
        <v>1.2804474030100266E-05</v>
      </c>
      <c r="N36" s="76">
        <f t="shared" si="9"/>
        <v>0.33326773407769367</v>
      </c>
      <c r="O36" s="76">
        <f>100*G36*C36/((друк!$C$15-друк!$C$18)/2)</f>
        <v>392262.4259924759</v>
      </c>
      <c r="P36" s="76">
        <f t="shared" si="10"/>
        <v>2402269580.0227942</v>
      </c>
    </row>
    <row r="37" spans="1:16" ht="24.75" customHeight="1">
      <c r="A37" s="76">
        <f t="shared" si="0"/>
        <v>73791.44019026835</v>
      </c>
      <c r="B37" s="76">
        <f t="shared" si="1"/>
        <v>17969.08292966804</v>
      </c>
      <c r="C37" s="76">
        <f t="shared" si="5"/>
        <v>235.70518301258824</v>
      </c>
      <c r="D37" s="76">
        <f>D36-друк!$C$42</f>
        <v>433.7626949935824</v>
      </c>
      <c r="E37" s="76">
        <f>E36-друк!$C$42</f>
        <v>235.7864575183737</v>
      </c>
      <c r="F37" s="76">
        <f t="shared" si="6"/>
        <v>3.194207653419308E-05</v>
      </c>
      <c r="G37" s="76">
        <f t="shared" si="2"/>
        <v>32007.96955239122</v>
      </c>
      <c r="H37" s="76">
        <f t="shared" si="3"/>
        <v>96023.90938770892</v>
      </c>
      <c r="I37" s="76">
        <f t="shared" si="4"/>
        <v>0.43376263846911944</v>
      </c>
      <c r="J37" s="76">
        <f t="shared" si="7"/>
        <v>5445176.081919023</v>
      </c>
      <c r="K37" s="76">
        <f>(G37-друк!$C$33/1000)/414</f>
        <v>77.29856423033947</v>
      </c>
      <c r="L37" s="76">
        <f t="shared" si="8"/>
        <v>1242.2469982957305</v>
      </c>
      <c r="M37" s="76">
        <f>0.001*414/(G37-друк!$C$33/1000)</f>
        <v>1.2936850896998975E-05</v>
      </c>
      <c r="N37" s="76">
        <f t="shared" si="9"/>
        <v>0.3332670560427813</v>
      </c>
      <c r="O37" s="76">
        <f>100*G37*C37/((друк!$C$15-друк!$C$18)/2)</f>
        <v>385672.86134049075</v>
      </c>
      <c r="P37" s="76">
        <f t="shared" si="10"/>
        <v>2361914170.837207</v>
      </c>
    </row>
    <row r="38" spans="1:16" ht="24.75" customHeight="1">
      <c r="A38" s="76">
        <f t="shared" si="0"/>
        <v>73298.47162648117</v>
      </c>
      <c r="B38" s="76">
        <f t="shared" si="1"/>
        <v>17729.797611167618</v>
      </c>
      <c r="C38" s="76">
        <f t="shared" si="5"/>
        <v>234.13053905324415</v>
      </c>
      <c r="D38" s="76">
        <f>D37-друк!$C$42</f>
        <v>432.1875080745632</v>
      </c>
      <c r="E38" s="76">
        <f>E37-друк!$C$42</f>
        <v>234.21127059935452</v>
      </c>
      <c r="F38" s="76">
        <f aca="true" t="shared" si="11" ref="F38:F44">0.01*C38/A38</f>
        <v>3.194207653419308E-05</v>
      </c>
      <c r="G38" s="76">
        <f t="shared" si="2"/>
        <v>31678.679455648737</v>
      </c>
      <c r="H38" s="76">
        <f t="shared" si="3"/>
        <v>95036.03909260107</v>
      </c>
      <c r="I38" s="76">
        <f t="shared" si="4"/>
        <v>0.4321874520988467</v>
      </c>
      <c r="J38" s="76">
        <f t="shared" si="7"/>
        <v>5372665.39289233</v>
      </c>
      <c r="K38" s="76">
        <f>(G38-друк!$C$33/1000)/414</f>
        <v>76.50317752323203</v>
      </c>
      <c r="L38" s="76">
        <f aca="true" t="shared" si="12" ref="L38:L44">H38/K38</f>
        <v>1242.2495662188815</v>
      </c>
      <c r="M38" s="76">
        <f>0.001*414/(G38-друк!$C$33/1000)</f>
        <v>1.3071352489853458E-05</v>
      </c>
      <c r="N38" s="76">
        <f t="shared" si="9"/>
        <v>0.33326636712791907</v>
      </c>
      <c r="O38" s="76">
        <f>100*G38*C38/((друк!$C$15-друк!$C$18)/2)</f>
        <v>379155.14770302275</v>
      </c>
      <c r="P38" s="76">
        <f aca="true" t="shared" si="13" ref="P38:P44">G38*A38</f>
        <v>2321998787.244261</v>
      </c>
    </row>
    <row r="39" spans="1:16" ht="24.75" customHeight="1">
      <c r="A39" s="76">
        <f t="shared" si="0"/>
        <v>72805.50306269401</v>
      </c>
      <c r="B39" s="76">
        <f t="shared" si="1"/>
        <v>17492.116211499426</v>
      </c>
      <c r="C39" s="76">
        <f t="shared" si="5"/>
        <v>232.5558950939</v>
      </c>
      <c r="D39" s="76">
        <f>D38-друк!$C$42</f>
        <v>430.612321155544</v>
      </c>
      <c r="E39" s="76">
        <f>E38-друк!$C$42</f>
        <v>232.63608368033533</v>
      </c>
      <c r="F39" s="76">
        <f t="shared" si="11"/>
        <v>3.1942076534193066E-05</v>
      </c>
      <c r="G39" s="76">
        <f t="shared" si="2"/>
        <v>31350.942393553898</v>
      </c>
      <c r="H39" s="76">
        <f t="shared" si="3"/>
        <v>94052.82790143618</v>
      </c>
      <c r="I39" s="76">
        <f t="shared" si="4"/>
        <v>0.43061226572750616</v>
      </c>
      <c r="J39" s="76">
        <f t="shared" si="7"/>
        <v>5300640.739710284</v>
      </c>
      <c r="K39" s="76">
        <f>(G39-друк!$C$33/1000)/414</f>
        <v>75.711542107544</v>
      </c>
      <c r="L39" s="76">
        <f t="shared" si="12"/>
        <v>1242.2521756040765</v>
      </c>
      <c r="M39" s="76">
        <f>0.001*414/(G39-друк!$C$33/1000)</f>
        <v>1.3208025780000044E-05</v>
      </c>
      <c r="N39" s="76">
        <f t="shared" si="9"/>
        <v>0.3332656670926594</v>
      </c>
      <c r="O39" s="76">
        <f>100*G39*C39/((друк!$C$15-друк!$C$18)/2)</f>
        <v>372708.91004094156</v>
      </c>
      <c r="P39" s="76">
        <f t="shared" si="13"/>
        <v>2282521132.452232</v>
      </c>
    </row>
    <row r="40" spans="1:16" ht="24.75" customHeight="1">
      <c r="A40" s="76">
        <f t="shared" si="0"/>
        <v>72312.53449890684</v>
      </c>
      <c r="B40" s="76">
        <f t="shared" si="1"/>
        <v>17256.038730663455</v>
      </c>
      <c r="C40" s="76">
        <f t="shared" si="5"/>
        <v>230.98125113455592</v>
      </c>
      <c r="D40" s="76">
        <f>D39-друк!$C$42</f>
        <v>429.0371342365248</v>
      </c>
      <c r="E40" s="76">
        <f>E39-друк!$C$42</f>
        <v>231.06089676131614</v>
      </c>
      <c r="F40" s="76">
        <f t="shared" si="11"/>
        <v>3.194207653419307E-05</v>
      </c>
      <c r="G40" s="76">
        <f t="shared" si="2"/>
        <v>31024.75836610742</v>
      </c>
      <c r="H40" s="76">
        <f t="shared" si="3"/>
        <v>93074.27581421635</v>
      </c>
      <c r="I40" s="76">
        <f t="shared" si="4"/>
        <v>0.4290370793550862</v>
      </c>
      <c r="J40" s="76">
        <f t="shared" si="7"/>
        <v>5229102.122373321</v>
      </c>
      <c r="K40" s="76">
        <f>(G40-друк!$C$33/1000)/414</f>
        <v>74.92365798327715</v>
      </c>
      <c r="L40" s="76">
        <f t="shared" si="12"/>
        <v>1242.2548273736234</v>
      </c>
      <c r="M40" s="76">
        <f>0.001*414/(G40-друк!$C$33/1000)</f>
        <v>1.3346919076257576E-05</v>
      </c>
      <c r="N40" s="76">
        <f t="shared" si="9"/>
        <v>0.3332649556897109</v>
      </c>
      <c r="O40" s="76">
        <f>100*G40*C40/((друк!$C$15-друк!$C$18)/2)</f>
        <v>366333.7733151164</v>
      </c>
      <c r="P40" s="76">
        <f t="shared" si="13"/>
        <v>2243478909.6693916</v>
      </c>
    </row>
    <row r="41" spans="1:16" ht="24.75" customHeight="1">
      <c r="A41" s="76">
        <f t="shared" si="0"/>
        <v>71819.56593511967</v>
      </c>
      <c r="B41" s="76">
        <f t="shared" si="1"/>
        <v>17021.565168659705</v>
      </c>
      <c r="C41" s="76">
        <f t="shared" si="5"/>
        <v>229.4066071752118</v>
      </c>
      <c r="D41" s="76">
        <f>D40-друк!$C$42</f>
        <v>427.46194731750563</v>
      </c>
      <c r="E41" s="76">
        <f>E40-друк!$C$42</f>
        <v>229.48570984229696</v>
      </c>
      <c r="F41" s="76">
        <f t="shared" si="11"/>
        <v>3.194207653419307E-05</v>
      </c>
      <c r="G41" s="76">
        <f t="shared" si="2"/>
        <v>30700.12737331003</v>
      </c>
      <c r="H41" s="76">
        <f t="shared" si="3"/>
        <v>92100.3828309438</v>
      </c>
      <c r="I41" s="76">
        <f t="shared" si="4"/>
        <v>0.4274618929815747</v>
      </c>
      <c r="J41" s="76">
        <f t="shared" si="7"/>
        <v>5158049.540881881</v>
      </c>
      <c r="K41" s="76">
        <f>(G41-друк!$C$33/1000)/414</f>
        <v>74.13952515043322</v>
      </c>
      <c r="L41" s="76">
        <f t="shared" si="12"/>
        <v>1242.2575224762636</v>
      </c>
      <c r="M41" s="76">
        <f>0.001*414/(G41-друк!$C$33/1000)</f>
        <v>1.3488082071890054E-05</v>
      </c>
      <c r="N41" s="76">
        <f t="shared" si="9"/>
        <v>0.33326423266469735</v>
      </c>
      <c r="O41" s="76">
        <f>100*G41*C41/((друк!$C$15-друк!$C$18)/2)</f>
        <v>360029.36248641665</v>
      </c>
      <c r="P41" s="76">
        <f t="shared" si="13"/>
        <v>2204869822.104012</v>
      </c>
    </row>
    <row r="42" spans="1:16" ht="24.75" customHeight="1">
      <c r="A42" s="76">
        <f t="shared" si="0"/>
        <v>71326.5973713325</v>
      </c>
      <c r="B42" s="76">
        <f t="shared" si="1"/>
        <v>16788.69552548818</v>
      </c>
      <c r="C42" s="76">
        <f t="shared" si="5"/>
        <v>227.83196321586772</v>
      </c>
      <c r="D42" s="76">
        <f>D41-друк!$C$42</f>
        <v>425.88676039848644</v>
      </c>
      <c r="E42" s="76">
        <f>E41-друк!$C$42</f>
        <v>227.91052292327777</v>
      </c>
      <c r="F42" s="76">
        <f t="shared" si="11"/>
        <v>3.194207653419307E-05</v>
      </c>
      <c r="G42" s="76">
        <f t="shared" si="2"/>
        <v>30377.04941516248</v>
      </c>
      <c r="H42" s="76">
        <f t="shared" si="3"/>
        <v>91131.14895162077</v>
      </c>
      <c r="I42" s="76">
        <f t="shared" si="4"/>
        <v>0.42588670660695943</v>
      </c>
      <c r="J42" s="76">
        <f t="shared" si="7"/>
        <v>5087482.995236409</v>
      </c>
      <c r="K42" s="76">
        <f>(G42-друк!$C$33/1000)/414</f>
        <v>73.35914360901401</v>
      </c>
      <c r="L42" s="76">
        <f t="shared" si="12"/>
        <v>1242.2602618881037</v>
      </c>
      <c r="M42" s="76">
        <f>0.001*414/(G42-друк!$C$33/1000)</f>
        <v>1.3631565893540842E-05</v>
      </c>
      <c r="N42" s="76">
        <f t="shared" si="9"/>
        <v>0.3332634977559082</v>
      </c>
      <c r="O42" s="76">
        <f>100*G42*C42/((друк!$C$15-друк!$C$18)/2)</f>
        <v>353795.3025157116</v>
      </c>
      <c r="P42" s="76">
        <f t="shared" si="13"/>
        <v>2166691572.9643655</v>
      </c>
    </row>
    <row r="43" spans="1:16" ht="24.75" customHeight="1">
      <c r="A43" s="76">
        <f t="shared" si="0"/>
        <v>70833.62880754532</v>
      </c>
      <c r="B43" s="76">
        <f t="shared" si="1"/>
        <v>16557.42980114888</v>
      </c>
      <c r="C43" s="76">
        <f t="shared" si="5"/>
        <v>226.2573192565236</v>
      </c>
      <c r="D43" s="76">
        <f>D42-друк!$C$42</f>
        <v>424.31157347946726</v>
      </c>
      <c r="E43" s="76">
        <f>E42-друк!$C$42</f>
        <v>226.33533600425858</v>
      </c>
      <c r="F43" s="76">
        <f t="shared" si="11"/>
        <v>3.194207653419307E-05</v>
      </c>
      <c r="G43" s="76">
        <f t="shared" si="2"/>
        <v>30055.52449166553</v>
      </c>
      <c r="H43" s="76">
        <f t="shared" si="3"/>
        <v>90166.5741762495</v>
      </c>
      <c r="I43" s="76">
        <f t="shared" si="4"/>
        <v>0.42431152023122815</v>
      </c>
      <c r="J43" s="76">
        <f t="shared" si="7"/>
        <v>5017402.485437358</v>
      </c>
      <c r="K43" s="76">
        <f>(G43-друк!$C$33/1000)/414</f>
        <v>72.58251335902138</v>
      </c>
      <c r="L43" s="76">
        <f t="shared" si="12"/>
        <v>1242.2630466135902</v>
      </c>
      <c r="M43" s="76">
        <f>0.001*414/(G43-друк!$C$33/1000)</f>
        <v>1.3777423152235176E-05</v>
      </c>
      <c r="N43" s="76">
        <f t="shared" si="9"/>
        <v>0.3332627506940372</v>
      </c>
      <c r="O43" s="76">
        <f>100*G43*C43/((друк!$C$15-друк!$C$18)/2)</f>
        <v>347631.21836386994</v>
      </c>
      <c r="P43" s="76">
        <f t="shared" si="13"/>
        <v>2128941865.4587233</v>
      </c>
    </row>
    <row r="44" spans="1:16" ht="24.75" customHeight="1">
      <c r="A44" s="76">
        <f t="shared" si="0"/>
        <v>70340.66024375815</v>
      </c>
      <c r="B44" s="76">
        <f t="shared" si="1"/>
        <v>16327.7679956418</v>
      </c>
      <c r="C44" s="76">
        <f t="shared" si="5"/>
        <v>224.6826752971795</v>
      </c>
      <c r="D44" s="76">
        <f>D43-друк!$C$42</f>
        <v>422.73638656044807</v>
      </c>
      <c r="E44" s="76">
        <f>E43-друк!$C$42</f>
        <v>224.7601490852394</v>
      </c>
      <c r="F44" s="76">
        <f t="shared" si="11"/>
        <v>3.194207653419308E-05</v>
      </c>
      <c r="G44" s="76">
        <f t="shared" si="2"/>
        <v>29735.552602819946</v>
      </c>
      <c r="H44" s="76">
        <f t="shared" si="3"/>
        <v>89206.65850483238</v>
      </c>
      <c r="I44" s="76">
        <f t="shared" si="4"/>
        <v>0.42273633385436826</v>
      </c>
      <c r="J44" s="76">
        <f t="shared" si="7"/>
        <v>4947808.011485184</v>
      </c>
      <c r="K44" s="76">
        <f>(G44-друк!$C$33/1000)/414</f>
        <v>71.80963440045717</v>
      </c>
      <c r="L44" s="76">
        <f t="shared" si="12"/>
        <v>1242.2658776865246</v>
      </c>
      <c r="M44" s="76">
        <f>0.001*414/(G44-друк!$C$33/1000)</f>
        <v>1.3925707996553087E-05</v>
      </c>
      <c r="N44" s="76">
        <f t="shared" si="9"/>
        <v>0.33326199120191036</v>
      </c>
      <c r="O44" s="76">
        <f>100*G44*C44/((друк!$C$15-друк!$C$18)/2)</f>
        <v>341536.73499176104</v>
      </c>
      <c r="P44" s="76">
        <f t="shared" si="13"/>
        <v>2091618402.795356</v>
      </c>
    </row>
    <row r="45" spans="1:16" ht="24.75" customHeight="1">
      <c r="A45" s="76">
        <f t="shared" si="0"/>
        <v>69847.69167997099</v>
      </c>
      <c r="B45" s="76">
        <f t="shared" si="1"/>
        <v>16099.710108966952</v>
      </c>
      <c r="C45" s="76">
        <f t="shared" si="5"/>
        <v>223.10803133783537</v>
      </c>
      <c r="D45" s="76">
        <f>D44-друк!$C$42</f>
        <v>421.1611996414289</v>
      </c>
      <c r="E45" s="76">
        <f>E44-друк!$C$42</f>
        <v>223.1849621662202</v>
      </c>
      <c r="F45" s="76">
        <f aca="true" t="shared" si="14" ref="F45:F84">0.01*C45/A45</f>
        <v>3.194207653419307E-05</v>
      </c>
      <c r="G45" s="76">
        <f t="shared" si="2"/>
        <v>29417.13374862652</v>
      </c>
      <c r="H45" s="76">
        <f t="shared" si="3"/>
        <v>88251.4019373717</v>
      </c>
      <c r="I45" s="76">
        <f t="shared" si="4"/>
        <v>0.42116114747636696</v>
      </c>
      <c r="J45" s="76">
        <f t="shared" si="7"/>
        <v>4878699.573380349</v>
      </c>
      <c r="K45" s="76">
        <f>(G45-друк!$C$33/1000)/414</f>
        <v>71.04050673332328</v>
      </c>
      <c r="L45" s="76">
        <f aca="true" t="shared" si="15" ref="L45:L84">H45/K45</f>
        <v>1242.2687561711216</v>
      </c>
      <c r="M45" s="76">
        <f>0.001*414/(G45-друк!$C$33/1000)</f>
        <v>1.4076476168080677E-05</v>
      </c>
      <c r="N45" s="76">
        <f aca="true" t="shared" si="16" ref="N45:N84">414*K45/H45</f>
        <v>0.33326121899420275</v>
      </c>
      <c r="O45" s="76">
        <f>100*G45*C45/((друк!$C$15-друк!$C$18)/2)</f>
        <v>335511.47736025363</v>
      </c>
      <c r="P45" s="76">
        <f aca="true" t="shared" si="17" ref="P45:P84">G45*A45</f>
        <v>2054718888.1825342</v>
      </c>
    </row>
    <row r="46" spans="1:16" ht="18">
      <c r="A46" s="76">
        <f t="shared" si="0"/>
        <v>69354.72311618381</v>
      </c>
      <c r="B46" s="76">
        <f t="shared" si="1"/>
        <v>15873.256141124319</v>
      </c>
      <c r="C46" s="76">
        <f t="shared" si="5"/>
        <v>221.53338737849128</v>
      </c>
      <c r="D46" s="76">
        <f>D45-друк!$C$42</f>
        <v>419.5860127224097</v>
      </c>
      <c r="E46" s="76">
        <f>E45-друк!$C$42</f>
        <v>221.60977524720101</v>
      </c>
      <c r="F46" s="76">
        <f t="shared" si="14"/>
        <v>3.194207653419307E-05</v>
      </c>
      <c r="G46" s="76">
        <f t="shared" si="2"/>
        <v>29100.267929086014</v>
      </c>
      <c r="H46" s="76">
        <f t="shared" si="3"/>
        <v>87300.80447386981</v>
      </c>
      <c r="I46" s="76">
        <f t="shared" si="4"/>
        <v>0.4195859610972114</v>
      </c>
      <c r="J46" s="76">
        <f t="shared" si="7"/>
        <v>4810077.171123316</v>
      </c>
      <c r="K46" s="76">
        <f>(G46-друк!$C$33/1000)/414</f>
        <v>70.27513035762158</v>
      </c>
      <c r="L46" s="76">
        <f t="shared" si="15"/>
        <v>1242.271683163114</v>
      </c>
      <c r="M46" s="76">
        <f>0.001*414/(G46-друк!$C$33/1000)</f>
        <v>1.4229785059253847E-05</v>
      </c>
      <c r="N46" s="76">
        <f t="shared" si="16"/>
        <v>0.33326043377714226</v>
      </c>
      <c r="O46" s="76">
        <f>100*G46*C46/((друк!$C$15-друк!$C$18)/2)</f>
        <v>329555.0704302162</v>
      </c>
      <c r="P46" s="76">
        <f t="shared" si="17"/>
        <v>2018241024.8285244</v>
      </c>
    </row>
    <row r="47" spans="1:16" ht="18">
      <c r="A47" s="76">
        <f aca="true" t="shared" si="18" ref="A47:A78">E47/SQRT(($K$5*$K$5)+($K$6*$K$6))</f>
        <v>68861.75455239664</v>
      </c>
      <c r="B47" s="76">
        <f aca="true" t="shared" si="19" ref="B47:B78">3*A47^2*$K$5/1000</f>
        <v>15648.406092113913</v>
      </c>
      <c r="C47" s="76">
        <f t="shared" si="5"/>
        <v>219.9587434191472</v>
      </c>
      <c r="D47" s="76">
        <f>D46-друк!$C$42</f>
        <v>418.0108258033905</v>
      </c>
      <c r="E47" s="76">
        <f>E46-друк!$C$42</f>
        <v>220.03458832818183</v>
      </c>
      <c r="F47" s="76">
        <f t="shared" si="14"/>
        <v>3.194207653419307E-05</v>
      </c>
      <c r="G47" s="76">
        <f aca="true" t="shared" si="20" ref="G47:G78">((((A47*SQRT((D47^2-((A47*$K$6/1000)^2))))))-(A47*($K$5/1000))*3)*0.001</f>
        <v>28784.955144199263</v>
      </c>
      <c r="H47" s="76">
        <f aca="true" t="shared" si="21" ref="H47:H78">((((A47*SQRT((D47^2-((A47*$K$6/1000)^2))))))*3)*0.001</f>
        <v>86354.86611432915</v>
      </c>
      <c r="I47" s="76">
        <f aca="true" t="shared" si="22" ref="I47:I78">0.001*(SQRT(D47^2-(A47*$K$6/1000)^2))-(A47*$K$5/1000)/(A47*(G47+($K$5/1000)))</f>
        <v>0.41801077471688847</v>
      </c>
      <c r="J47" s="76">
        <f t="shared" si="7"/>
        <v>4741940.804714559</v>
      </c>
      <c r="K47" s="76">
        <f>(G47-друк!$C$33/1000)/414</f>
        <v>69.51350527335407</v>
      </c>
      <c r="L47" s="76">
        <f t="shared" si="15"/>
        <v>1242.2746597909043</v>
      </c>
      <c r="M47" s="76">
        <f>0.001*414/(G47-друк!$C$33/1000)</f>
        <v>1.438569377371508E-05</v>
      </c>
      <c r="N47" s="76">
        <f t="shared" si="16"/>
        <v>0.33325963524820124</v>
      </c>
      <c r="O47" s="76">
        <f>100*G47*C47/((друк!$C$15-друк!$C$18)/2)</f>
        <v>323667.1391625176</v>
      </c>
      <c r="P47" s="76">
        <f t="shared" si="17"/>
        <v>1982182515.9415967</v>
      </c>
    </row>
    <row r="48" spans="1:16" ht="18">
      <c r="A48" s="76">
        <f t="shared" si="18"/>
        <v>68368.78598860947</v>
      </c>
      <c r="B48" s="76">
        <f t="shared" si="19"/>
        <v>15425.159961935733</v>
      </c>
      <c r="C48" s="76">
        <f t="shared" si="5"/>
        <v>218.38409945980308</v>
      </c>
      <c r="D48" s="76">
        <f>D47-друк!$C$42</f>
        <v>416.4356388843713</v>
      </c>
      <c r="E48" s="76">
        <f>E47-друк!$C$42</f>
        <v>218.45940140916264</v>
      </c>
      <c r="F48" s="76">
        <f t="shared" si="14"/>
        <v>3.194207653419308E-05</v>
      </c>
      <c r="G48" s="76">
        <f t="shared" si="20"/>
        <v>28471.19539396706</v>
      </c>
      <c r="H48" s="76">
        <f t="shared" si="21"/>
        <v>85413.58685875217</v>
      </c>
      <c r="I48" s="76">
        <f t="shared" si="22"/>
        <v>0.41643558833538474</v>
      </c>
      <c r="J48" s="76">
        <f aca="true" t="shared" si="23" ref="J48:J84">(A48*(G48+$K$5))/D48</f>
        <v>4674290.474154553</v>
      </c>
      <c r="K48" s="76">
        <f>(G48-друк!$C$33/1000)/414</f>
        <v>68.75563148052267</v>
      </c>
      <c r="L48" s="76">
        <f t="shared" si="15"/>
        <v>1242.277687216769</v>
      </c>
      <c r="M48" s="76">
        <f>0.001*414/(G48-друк!$C$33/1000)</f>
        <v>1.4544263189311026E-05</v>
      </c>
      <c r="N48" s="76">
        <f t="shared" si="16"/>
        <v>0.3332588230957736</v>
      </c>
      <c r="O48" s="76">
        <f>100*G48*C48/((друк!$C$15-друк!$C$18)/2)</f>
        <v>317847.308518026</v>
      </c>
      <c r="P48" s="76">
        <f t="shared" si="17"/>
        <v>1946541064.7300174</v>
      </c>
    </row>
    <row r="49" spans="1:16" ht="18">
      <c r="A49" s="76">
        <f t="shared" si="18"/>
        <v>67875.8174248223</v>
      </c>
      <c r="B49" s="76">
        <f t="shared" si="19"/>
        <v>15203.517750589772</v>
      </c>
      <c r="C49" s="76">
        <f t="shared" si="5"/>
        <v>216.809455500459</v>
      </c>
      <c r="D49" s="76">
        <f>D48-друк!$C$42</f>
        <v>414.8604519653521</v>
      </c>
      <c r="E49" s="76">
        <f>E48-друк!$C$42</f>
        <v>216.88421449014345</v>
      </c>
      <c r="F49" s="76">
        <f t="shared" si="14"/>
        <v>3.194207653419308E-05</v>
      </c>
      <c r="G49" s="76">
        <f t="shared" si="20"/>
        <v>28158.98867839025</v>
      </c>
      <c r="H49" s="76">
        <f t="shared" si="21"/>
        <v>84476.96670714134</v>
      </c>
      <c r="I49" s="76">
        <f t="shared" si="22"/>
        <v>0.4148604019526867</v>
      </c>
      <c r="J49" s="76">
        <f t="shared" si="23"/>
        <v>4607126.179443783</v>
      </c>
      <c r="K49" s="76">
        <f>(G49-друк!$C$33/1000)/414</f>
        <v>68.0015089791294</v>
      </c>
      <c r="L49" s="76">
        <f t="shared" si="15"/>
        <v>1242.2807666381123</v>
      </c>
      <c r="M49" s="76">
        <f>0.001*414/(G49-друк!$C$33/1000)</f>
        <v>1.4705556023865792E-05</v>
      </c>
      <c r="N49" s="76">
        <f t="shared" si="16"/>
        <v>0.33325799699883946</v>
      </c>
      <c r="O49" s="76">
        <f>100*G49*C49/((друк!$C$15-друк!$C$18)/2)</f>
        <v>312095.20345761016</v>
      </c>
      <c r="P49" s="76">
        <f t="shared" si="17"/>
        <v>1911314374.4020548</v>
      </c>
    </row>
    <row r="50" spans="1:16" ht="18">
      <c r="A50" s="76">
        <f t="shared" si="18"/>
        <v>67382.84886103512</v>
      </c>
      <c r="B50" s="76">
        <f t="shared" si="19"/>
        <v>14983.479458076037</v>
      </c>
      <c r="C50" s="76">
        <f t="shared" si="5"/>
        <v>215.23481154111488</v>
      </c>
      <c r="D50" s="76">
        <f>D49-друк!$C$42</f>
        <v>413.28526504633294</v>
      </c>
      <c r="E50" s="76">
        <f>E49-друк!$C$42</f>
        <v>215.30902757112426</v>
      </c>
      <c r="F50" s="76">
        <f t="shared" si="14"/>
        <v>3.1942076534193086E-05</v>
      </c>
      <c r="G50" s="76">
        <f t="shared" si="20"/>
        <v>27848.334997469672</v>
      </c>
      <c r="H50" s="76">
        <f t="shared" si="21"/>
        <v>83545.00565949922</v>
      </c>
      <c r="I50" s="76">
        <f t="shared" si="22"/>
        <v>0.41328521556878073</v>
      </c>
      <c r="J50" s="76">
        <f t="shared" si="23"/>
        <v>4540447.920582737</v>
      </c>
      <c r="K50" s="76">
        <f>(G50-друк!$C$33/1000)/414</f>
        <v>67.25113776917631</v>
      </c>
      <c r="L50" s="76">
        <f t="shared" si="15"/>
        <v>1242.283899288779</v>
      </c>
      <c r="M50" s="76">
        <f>0.001*414/(G50-друк!$C$33/1000)</f>
        <v>1.4869636903873128E-05</v>
      </c>
      <c r="N50" s="76">
        <f t="shared" si="16"/>
        <v>0.3332571566266129</v>
      </c>
      <c r="O50" s="76">
        <f>100*G50*C50/((друк!$C$15-друк!$C$18)/2)</f>
        <v>306410.44894213794</v>
      </c>
      <c r="P50" s="76">
        <f t="shared" si="17"/>
        <v>1876500148.1659737</v>
      </c>
    </row>
    <row r="51" spans="1:16" ht="18">
      <c r="A51" s="76">
        <f t="shared" si="18"/>
        <v>66889.88029724796</v>
      </c>
      <c r="B51" s="76">
        <f t="shared" si="19"/>
        <v>14765.045084394531</v>
      </c>
      <c r="C51" s="76">
        <f t="shared" si="5"/>
        <v>213.66016758177076</v>
      </c>
      <c r="D51" s="76">
        <f>D50-друк!$C$42</f>
        <v>411.71007812731375</v>
      </c>
      <c r="E51" s="76">
        <f>E50-друк!$C$42</f>
        <v>213.73384065210507</v>
      </c>
      <c r="F51" s="76">
        <f t="shared" si="14"/>
        <v>3.194207653419307E-05</v>
      </c>
      <c r="G51" s="76">
        <f t="shared" si="20"/>
        <v>27539.234351206174</v>
      </c>
      <c r="H51" s="76">
        <f t="shared" si="21"/>
        <v>82617.70371582833</v>
      </c>
      <c r="I51" s="76">
        <f t="shared" si="22"/>
        <v>0.41171002918365274</v>
      </c>
      <c r="J51" s="76">
        <f t="shared" si="23"/>
        <v>4474255.697571907</v>
      </c>
      <c r="K51" s="76">
        <f>(G51-друк!$C$33/1000)/414</f>
        <v>66.50451785066545</v>
      </c>
      <c r="L51" s="76">
        <f t="shared" si="15"/>
        <v>1242.2870864404238</v>
      </c>
      <c r="M51" s="76">
        <f>0.001*414/(G51-друк!$C$33/1000)</f>
        <v>1.503657243625884E-05</v>
      </c>
      <c r="N51" s="76">
        <f t="shared" si="16"/>
        <v>0.33325630163817543</v>
      </c>
      <c r="O51" s="76">
        <f>100*G51*C51/((друк!$C$15-друк!$C$18)/2)</f>
        <v>300792.66993247764</v>
      </c>
      <c r="P51" s="76">
        <f t="shared" si="17"/>
        <v>1842096089.23004</v>
      </c>
    </row>
    <row r="52" spans="1:16" ht="18">
      <c r="A52" s="76">
        <f t="shared" si="18"/>
        <v>66396.91173346079</v>
      </c>
      <c r="B52" s="76">
        <f t="shared" si="19"/>
        <v>14548.214629545246</v>
      </c>
      <c r="C52" s="76">
        <f t="shared" si="5"/>
        <v>212.08552362242668</v>
      </c>
      <c r="D52" s="76">
        <f>D51-друк!$C$42</f>
        <v>410.13489120829456</v>
      </c>
      <c r="E52" s="76">
        <f>E51-друк!$C$42</f>
        <v>212.15865373308588</v>
      </c>
      <c r="F52" s="76">
        <f t="shared" si="14"/>
        <v>3.194207653419308E-05</v>
      </c>
      <c r="G52" s="76">
        <f t="shared" si="20"/>
        <v>27231.686739600613</v>
      </c>
      <c r="H52" s="76">
        <f t="shared" si="21"/>
        <v>81695.06087613126</v>
      </c>
      <c r="I52" s="76">
        <f t="shared" si="22"/>
        <v>0.41013484279728846</v>
      </c>
      <c r="J52" s="76">
        <f t="shared" si="23"/>
        <v>4408549.51041179</v>
      </c>
      <c r="K52" s="76">
        <f>(G52-друк!$C$33/1000)/414</f>
        <v>65.76164922359888</v>
      </c>
      <c r="L52" s="76">
        <f t="shared" si="15"/>
        <v>1242.2903294039438</v>
      </c>
      <c r="M52" s="76">
        <f>0.001*414/(G52-друк!$C$33/1000)</f>
        <v>1.5206431283373978E-05</v>
      </c>
      <c r="N52" s="76">
        <f t="shared" si="16"/>
        <v>0.3332554316820923</v>
      </c>
      <c r="O52" s="76">
        <f>100*G52*C52/((друк!$C$15-друк!$C$18)/2)</f>
        <v>295241.49138949695</v>
      </c>
      <c r="P52" s="76">
        <f t="shared" si="17"/>
        <v>1808099900.8025165</v>
      </c>
    </row>
    <row r="53" spans="1:16" ht="18">
      <c r="A53" s="76">
        <f t="shared" si="18"/>
        <v>65903.94316967361</v>
      </c>
      <c r="B53" s="76">
        <f t="shared" si="19"/>
        <v>14332.98809352818</v>
      </c>
      <c r="C53" s="76">
        <f t="shared" si="5"/>
        <v>210.51087966308256</v>
      </c>
      <c r="D53" s="76">
        <f>D52-друк!$C$42</f>
        <v>408.5597042892754</v>
      </c>
      <c r="E53" s="76">
        <f>E52-друк!$C$42</f>
        <v>210.5834668140667</v>
      </c>
      <c r="F53" s="76">
        <f t="shared" si="14"/>
        <v>3.194207653419308E-05</v>
      </c>
      <c r="G53" s="76">
        <f t="shared" si="20"/>
        <v>26925.692162653893</v>
      </c>
      <c r="H53" s="76">
        <f t="shared" si="21"/>
        <v>80777.07714041072</v>
      </c>
      <c r="I53" s="76">
        <f t="shared" si="22"/>
        <v>0.40855965640967384</v>
      </c>
      <c r="J53" s="76">
        <f t="shared" si="23"/>
        <v>4343329.359102893</v>
      </c>
      <c r="K53" s="76">
        <f>(G53-друк!$C$33/1000)/414</f>
        <v>65.02253188797879</v>
      </c>
      <c r="L53" s="76">
        <f t="shared" si="15"/>
        <v>1242.2936295309748</v>
      </c>
      <c r="M53" s="76">
        <f>0.001*414/(G53-друк!$C$33/1000)</f>
        <v>1.5379284241388913E-05</v>
      </c>
      <c r="N53" s="76">
        <f t="shared" si="16"/>
        <v>0.33325454639601165</v>
      </c>
      <c r="O53" s="76">
        <f>100*G53*C53/((друк!$C$15-друк!$C$18)/2)</f>
        <v>289756.53827406396</v>
      </c>
      <c r="P53" s="76">
        <f t="shared" si="17"/>
        <v>1774509286.0916684</v>
      </c>
    </row>
    <row r="54" spans="1:16" ht="18">
      <c r="A54" s="76">
        <f t="shared" si="18"/>
        <v>65410.97460588644</v>
      </c>
      <c r="B54" s="76">
        <f t="shared" si="19"/>
        <v>14119.365476343339</v>
      </c>
      <c r="C54" s="76">
        <f t="shared" si="5"/>
        <v>208.93623570373845</v>
      </c>
      <c r="D54" s="76">
        <f>D53-друк!$C$42</f>
        <v>406.9845173702562</v>
      </c>
      <c r="E54" s="76">
        <f>E53-друк!$C$42</f>
        <v>209.0082798950475</v>
      </c>
      <c r="F54" s="76">
        <f t="shared" si="14"/>
        <v>3.194207653419308E-05</v>
      </c>
      <c r="G54" s="76">
        <f t="shared" si="20"/>
        <v>26621.25062036689</v>
      </c>
      <c r="H54" s="76">
        <f t="shared" si="21"/>
        <v>79863.75250866932</v>
      </c>
      <c r="I54" s="76">
        <f t="shared" si="22"/>
        <v>0.4069844700207939</v>
      </c>
      <c r="J54" s="76">
        <f t="shared" si="23"/>
        <v>4278595.243645726</v>
      </c>
      <c r="K54" s="76">
        <f>(G54-друк!$C$33/1000)/414</f>
        <v>64.28716584380727</v>
      </c>
      <c r="L54" s="76">
        <f t="shared" si="15"/>
        <v>1242.2969882154562</v>
      </c>
      <c r="M54" s="76">
        <f>0.001*414/(G54-друк!$C$33/1000)</f>
        <v>1.555520432226877E-05</v>
      </c>
      <c r="N54" s="76">
        <f t="shared" si="16"/>
        <v>0.3332536454062452</v>
      </c>
      <c r="O54" s="76">
        <f>100*G54*C54/((друк!$C$15-друк!$C$18)/2)</f>
        <v>284337.43554704625</v>
      </c>
      <c r="P54" s="76">
        <f t="shared" si="17"/>
        <v>1741321948.3057573</v>
      </c>
    </row>
    <row r="55" spans="1:16" ht="18">
      <c r="A55" s="76">
        <f t="shared" si="18"/>
        <v>64918.006042099274</v>
      </c>
      <c r="B55" s="76">
        <f t="shared" si="19"/>
        <v>13907.346777990724</v>
      </c>
      <c r="C55" s="76">
        <f t="shared" si="5"/>
        <v>207.36159174439436</v>
      </c>
      <c r="D55" s="76">
        <f>D54-друк!$C$42</f>
        <v>405.409330451237</v>
      </c>
      <c r="E55" s="76">
        <f>E54-друк!$C$42</f>
        <v>207.43309297602832</v>
      </c>
      <c r="F55" s="76">
        <f t="shared" si="14"/>
        <v>3.194207653419308E-05</v>
      </c>
      <c r="G55" s="76">
        <f t="shared" si="20"/>
        <v>26318.36211274052</v>
      </c>
      <c r="H55" s="76">
        <f t="shared" si="21"/>
        <v>78955.08698090982</v>
      </c>
      <c r="I55" s="76">
        <f t="shared" si="22"/>
        <v>0.405409283630634</v>
      </c>
      <c r="J55" s="76">
        <f t="shared" si="23"/>
        <v>4214347.164040806</v>
      </c>
      <c r="K55" s="76">
        <f>(G55-друк!$C$33/1000)/414</f>
        <v>63.55555109108658</v>
      </c>
      <c r="L55" s="76">
        <f t="shared" si="15"/>
        <v>1242.3004068952675</v>
      </c>
      <c r="M55" s="76">
        <f>0.001*414/(G55-друк!$C$33/1000)</f>
        <v>1.5734266839521533E-05</v>
      </c>
      <c r="N55" s="76">
        <f t="shared" si="16"/>
        <v>0.3332527283273299</v>
      </c>
      <c r="O55" s="76">
        <f>100*G55*C55/((друк!$C$15-друк!$C$18)/2)</f>
        <v>278983.80816931144</v>
      </c>
      <c r="P55" s="76">
        <f t="shared" si="17"/>
        <v>1708535590.6530457</v>
      </c>
    </row>
    <row r="56" spans="1:16" ht="18">
      <c r="A56" s="76">
        <f t="shared" si="18"/>
        <v>64425.0374783121</v>
      </c>
      <c r="B56" s="76">
        <f t="shared" si="19"/>
        <v>13696.931998470332</v>
      </c>
      <c r="C56" s="76">
        <f t="shared" si="5"/>
        <v>205.78694778505024</v>
      </c>
      <c r="D56" s="76">
        <f>D55-друк!$C$42</f>
        <v>403.8341435322178</v>
      </c>
      <c r="E56" s="76">
        <f>E55-друк!$C$42</f>
        <v>205.85790605700913</v>
      </c>
      <c r="F56" s="76">
        <f t="shared" si="14"/>
        <v>3.194207653419308E-05</v>
      </c>
      <c r="G56" s="76">
        <f t="shared" si="20"/>
        <v>26017.026639775704</v>
      </c>
      <c r="H56" s="76">
        <f t="shared" si="21"/>
        <v>78051.08055713499</v>
      </c>
      <c r="I56" s="76">
        <f t="shared" si="22"/>
        <v>0.4038340972391789</v>
      </c>
      <c r="J56" s="76">
        <f t="shared" si="23"/>
        <v>4150585.120288653</v>
      </c>
      <c r="K56" s="76">
        <f>(G56-друк!$C$33/1000)/414</f>
        <v>62.827687629818904</v>
      </c>
      <c r="L56" s="76">
        <f t="shared" si="15"/>
        <v>1242.3038870539435</v>
      </c>
      <c r="M56" s="76">
        <f>0.001*414/(G56-друк!$C$33/1000)</f>
        <v>1.591654949792209E-05</v>
      </c>
      <c r="N56" s="76">
        <f t="shared" si="16"/>
        <v>0.33325179476156885</v>
      </c>
      <c r="O56" s="76">
        <f>100*G56*C56/((друк!$C$15-друк!$C$18)/2)</f>
        <v>273695.2811017268</v>
      </c>
      <c r="P56" s="76">
        <f t="shared" si="17"/>
        <v>1676147916.341794</v>
      </c>
    </row>
    <row r="57" spans="1:16" ht="18">
      <c r="A57" s="76">
        <f t="shared" si="18"/>
        <v>63932.06891452493</v>
      </c>
      <c r="B57" s="76">
        <f t="shared" si="19"/>
        <v>13488.121137782164</v>
      </c>
      <c r="C57" s="76">
        <f t="shared" si="5"/>
        <v>204.21230382570613</v>
      </c>
      <c r="D57" s="76">
        <f>D56-друк!$C$42</f>
        <v>402.2589566131986</v>
      </c>
      <c r="E57" s="76">
        <f>E56-друк!$C$42</f>
        <v>204.28271913798994</v>
      </c>
      <c r="F57" s="76">
        <f t="shared" si="14"/>
        <v>3.194207653419307E-05</v>
      </c>
      <c r="G57" s="76">
        <f t="shared" si="20"/>
        <v>25717.244201473375</v>
      </c>
      <c r="H57" s="76">
        <f t="shared" si="21"/>
        <v>77151.73323734761</v>
      </c>
      <c r="I57" s="76">
        <f t="shared" si="22"/>
        <v>0.4022589108464134</v>
      </c>
      <c r="J57" s="76">
        <f t="shared" si="23"/>
        <v>4087309.112389796</v>
      </c>
      <c r="K57" s="76">
        <f>(G57-друк!$C$33/1000)/414</f>
        <v>62.10357546000652</v>
      </c>
      <c r="L57" s="76">
        <f t="shared" si="15"/>
        <v>1242.3074302224645</v>
      </c>
      <c r="M57" s="76">
        <f>0.001*414/(G57-друк!$C$33/1000)</f>
        <v>1.6102132487427885E-05</v>
      </c>
      <c r="N57" s="76">
        <f t="shared" si="16"/>
        <v>0.33325084429855134</v>
      </c>
      <c r="O57" s="76">
        <f>100*G57*C57/((друк!$C$15-друк!$C$18)/2)</f>
        <v>268471.4793051596</v>
      </c>
      <c r="P57" s="76">
        <f t="shared" si="17"/>
        <v>1644156628.5802624</v>
      </c>
    </row>
    <row r="58" spans="1:16" ht="18">
      <c r="A58" s="76">
        <f t="shared" si="18"/>
        <v>63439.10035073776</v>
      </c>
      <c r="B58" s="76">
        <f t="shared" si="19"/>
        <v>13280.914195926222</v>
      </c>
      <c r="C58" s="76">
        <f t="shared" si="5"/>
        <v>202.63765986636201</v>
      </c>
      <c r="D58" s="76">
        <f>D57-друк!$C$42</f>
        <v>400.68376969417943</v>
      </c>
      <c r="E58" s="76">
        <f>E57-друк!$C$42</f>
        <v>202.70753221897075</v>
      </c>
      <c r="F58" s="76">
        <f t="shared" si="14"/>
        <v>3.194207653419307E-05</v>
      </c>
      <c r="G58" s="76">
        <f t="shared" si="20"/>
        <v>25419.014797834483</v>
      </c>
      <c r="H58" s="76">
        <f t="shared" si="21"/>
        <v>76257.04502155054</v>
      </c>
      <c r="I58" s="76">
        <f t="shared" si="22"/>
        <v>0.4006837244523219</v>
      </c>
      <c r="J58" s="76">
        <f t="shared" si="23"/>
        <v>4024519.140344769</v>
      </c>
      <c r="K58" s="76">
        <f>(G58-друк!$C$33/1000)/414</f>
        <v>61.3832145816517</v>
      </c>
      <c r="L58" s="76">
        <f t="shared" si="15"/>
        <v>1242.3110379811362</v>
      </c>
      <c r="M58" s="76">
        <f>0.001*414/(G58-друк!$C$33/1000)</f>
        <v>1.6291098581515378E-05</v>
      </c>
      <c r="N58" s="76">
        <f t="shared" si="16"/>
        <v>0.33324987651464977</v>
      </c>
      <c r="O58" s="76">
        <f>100*G58*C58/((друк!$C$15-друк!$C$18)/2)</f>
        <v>263312.0277404769</v>
      </c>
      <c r="P58" s="76">
        <f t="shared" si="17"/>
        <v>1612559430.57671</v>
      </c>
    </row>
    <row r="59" spans="1:16" ht="18">
      <c r="A59" s="76">
        <f t="shared" si="18"/>
        <v>62946.13178695059</v>
      </c>
      <c r="B59" s="76">
        <f t="shared" si="19"/>
        <v>13075.3111729025</v>
      </c>
      <c r="C59" s="76">
        <f t="shared" si="5"/>
        <v>201.06301590701793</v>
      </c>
      <c r="D59" s="76">
        <f>D58-друк!$C$42</f>
        <v>399.10858277516024</v>
      </c>
      <c r="E59" s="76">
        <f>E58-друк!$C$42</f>
        <v>201.13234529995157</v>
      </c>
      <c r="F59" s="76">
        <f t="shared" si="14"/>
        <v>3.194207653419307E-05</v>
      </c>
      <c r="G59" s="76">
        <f t="shared" si="20"/>
        <v>25122.33842886</v>
      </c>
      <c r="H59" s="76">
        <f t="shared" si="21"/>
        <v>75367.01590974671</v>
      </c>
      <c r="I59" s="76">
        <f t="shared" si="22"/>
        <v>0.3991085380568885</v>
      </c>
      <c r="J59" s="76">
        <f t="shared" si="23"/>
        <v>3962215.2041541114</v>
      </c>
      <c r="K59" s="76">
        <f>(G59-друк!$C$33/1000)/414</f>
        <v>60.66660499475682</v>
      </c>
      <c r="L59" s="76">
        <f t="shared" si="15"/>
        <v>1242.3147119615544</v>
      </c>
      <c r="M59" s="76">
        <f>0.001*414/(G59-друк!$C$33/1000)</f>
        <v>1.6483533240180925E-05</v>
      </c>
      <c r="N59" s="76">
        <f t="shared" si="16"/>
        <v>0.33324889097249294</v>
      </c>
      <c r="O59" s="76">
        <f>100*G59*C59/((друк!$C$15-друк!$C$18)/2)</f>
        <v>258216.55136854583</v>
      </c>
      <c r="P59" s="76">
        <f t="shared" si="17"/>
        <v>1581354025.5393946</v>
      </c>
    </row>
    <row r="60" spans="1:16" ht="18">
      <c r="A60" s="76">
        <f t="shared" si="18"/>
        <v>62453.163223163414</v>
      </c>
      <c r="B60" s="76">
        <f t="shared" si="19"/>
        <v>12871.312068711004</v>
      </c>
      <c r="C60" s="76">
        <f t="shared" si="5"/>
        <v>199.4883719476738</v>
      </c>
      <c r="D60" s="76">
        <f>D59-друк!$C$42</f>
        <v>397.53339585614106</v>
      </c>
      <c r="E60" s="76">
        <f>E59-друк!$C$42</f>
        <v>199.55715838093238</v>
      </c>
      <c r="F60" s="76">
        <f t="shared" si="14"/>
        <v>3.194207653419308E-05</v>
      </c>
      <c r="G60" s="76">
        <f t="shared" si="20"/>
        <v>24827.215094550902</v>
      </c>
      <c r="H60" s="76">
        <f t="shared" si="21"/>
        <v>74481.64590193902</v>
      </c>
      <c r="I60" s="76">
        <f t="shared" si="22"/>
        <v>0.3975333516600973</v>
      </c>
      <c r="J60" s="76">
        <f t="shared" si="23"/>
        <v>3900397.3038183707</v>
      </c>
      <c r="K60" s="76">
        <f>(G60-друк!$C$33/1000)/414</f>
        <v>59.95374669932421</v>
      </c>
      <c r="L60" s="76">
        <f t="shared" si="15"/>
        <v>1242.318453848666</v>
      </c>
      <c r="M60" s="76">
        <f>0.001*414/(G60-друк!$C$33/1000)</f>
        <v>1.667952471786508E-05</v>
      </c>
      <c r="N60" s="76">
        <f t="shared" si="16"/>
        <v>0.33324788722041454</v>
      </c>
      <c r="O60" s="76">
        <f>100*G60*C60/((друк!$C$15-друк!$C$18)/2)</f>
        <v>253184.67515023297</v>
      </c>
      <c r="P60" s="76">
        <f t="shared" si="17"/>
        <v>1550538116.676574</v>
      </c>
    </row>
    <row r="61" spans="1:16" ht="18">
      <c r="A61" s="76">
        <f t="shared" si="18"/>
        <v>61960.19465937625</v>
      </c>
      <c r="B61" s="76">
        <f t="shared" si="19"/>
        <v>12668.916883351732</v>
      </c>
      <c r="C61" s="76">
        <f t="shared" si="5"/>
        <v>197.9137279883297</v>
      </c>
      <c r="D61" s="76">
        <f>D60-друк!$C$42</f>
        <v>395.95820893712187</v>
      </c>
      <c r="E61" s="76">
        <f>E60-друк!$C$42</f>
        <v>197.9819714619132</v>
      </c>
      <c r="F61" s="76">
        <f t="shared" si="14"/>
        <v>3.194207653419307E-05</v>
      </c>
      <c r="G61" s="76">
        <f t="shared" si="20"/>
        <v>24533.644794908196</v>
      </c>
      <c r="H61" s="76">
        <f t="shared" si="21"/>
        <v>73600.93499813051</v>
      </c>
      <c r="I61" s="76">
        <f t="shared" si="22"/>
        <v>0.3959581652619318</v>
      </c>
      <c r="J61" s="76">
        <f t="shared" si="23"/>
        <v>3839065.4393380997</v>
      </c>
      <c r="K61" s="76">
        <f>(G61-друк!$C$33/1000)/414</f>
        <v>59.24463969535632</v>
      </c>
      <c r="L61" s="76">
        <f t="shared" si="15"/>
        <v>1242.3222653829298</v>
      </c>
      <c r="M61" s="76">
        <f>0.001*414/(G61-друк!$C$33/1000)</f>
        <v>1.6879164176575816E-05</v>
      </c>
      <c r="N61" s="76">
        <f t="shared" si="16"/>
        <v>0.33324686479187415</v>
      </c>
      <c r="O61" s="76">
        <f>100*G61*C61/((друк!$C$15-друк!$C$18)/2)</f>
        <v>248216.02404640507</v>
      </c>
      <c r="P61" s="76">
        <f t="shared" si="17"/>
        <v>1520109407.1965046</v>
      </c>
    </row>
    <row r="62" spans="1:16" ht="18">
      <c r="A62" s="76">
        <f t="shared" si="18"/>
        <v>61467.226095589074</v>
      </c>
      <c r="B62" s="76">
        <f t="shared" si="19"/>
        <v>12468.125616824678</v>
      </c>
      <c r="C62" s="76">
        <f t="shared" si="5"/>
        <v>196.3390840289856</v>
      </c>
      <c r="D62" s="76">
        <f>D61-друк!$C$42</f>
        <v>394.3830220181027</v>
      </c>
      <c r="E62" s="76">
        <f>E61-друк!$C$42</f>
        <v>196.406784542894</v>
      </c>
      <c r="F62" s="76">
        <f t="shared" si="14"/>
        <v>3.194207653419308E-05</v>
      </c>
      <c r="G62" s="76">
        <f t="shared" si="20"/>
        <v>24241.627529932884</v>
      </c>
      <c r="H62" s="76">
        <f t="shared" si="21"/>
        <v>72724.88319832417</v>
      </c>
      <c r="I62" s="76">
        <f t="shared" si="22"/>
        <v>0.3943829788623755</v>
      </c>
      <c r="J62" s="76">
        <f t="shared" si="23"/>
        <v>3778219.6107138554</v>
      </c>
      <c r="K62" s="76">
        <f>(G62-друк!$C$33/1000)/414</f>
        <v>58.53928398285557</v>
      </c>
      <c r="L62" s="76">
        <f t="shared" si="15"/>
        <v>1242.3261483625788</v>
      </c>
      <c r="M62" s="76">
        <f>0.001*414/(G62-друк!$C$33/1000)</f>
        <v>1.708254580450404E-05</v>
      </c>
      <c r="N62" s="76">
        <f t="shared" si="16"/>
        <v>0.3332458232048514</v>
      </c>
      <c r="O62" s="76">
        <f>100*G62*C62/((друк!$C$15-друк!$C$18)/2)</f>
        <v>243310.22301792869</v>
      </c>
      <c r="P62" s="76">
        <f t="shared" si="17"/>
        <v>1490065600.307441</v>
      </c>
    </row>
    <row r="63" spans="1:16" ht="18">
      <c r="A63" s="76">
        <f t="shared" si="18"/>
        <v>60974.2575318019</v>
      </c>
      <c r="B63" s="76">
        <f t="shared" si="19"/>
        <v>12268.938269129856</v>
      </c>
      <c r="C63" s="76">
        <f t="shared" si="5"/>
        <v>194.7644400696415</v>
      </c>
      <c r="D63" s="76">
        <f>D62-друк!$C$42</f>
        <v>392.8078350990835</v>
      </c>
      <c r="E63" s="76">
        <f>E62-друк!$C$42</f>
        <v>194.8315976238748</v>
      </c>
      <c r="F63" s="76">
        <f t="shared" si="14"/>
        <v>3.194207653419308E-05</v>
      </c>
      <c r="G63" s="76">
        <f t="shared" si="20"/>
        <v>23951.16329962599</v>
      </c>
      <c r="H63" s="76">
        <f t="shared" si="21"/>
        <v>71853.49050252313</v>
      </c>
      <c r="I63" s="76">
        <f t="shared" si="22"/>
        <v>0.3928077924614114</v>
      </c>
      <c r="J63" s="76">
        <f t="shared" si="23"/>
        <v>3717859.817946203</v>
      </c>
      <c r="K63" s="76">
        <f>(G63-друк!$C$33/1000)/414</f>
        <v>57.83767956182442</v>
      </c>
      <c r="L63" s="76">
        <f t="shared" si="15"/>
        <v>1242.3301046459997</v>
      </c>
      <c r="M63" s="76">
        <f>0.001*414/(G63-друк!$C$33/1000)</f>
        <v>1.728976694044356E-05</v>
      </c>
      <c r="N63" s="76">
        <f t="shared" si="16"/>
        <v>0.333244761961209</v>
      </c>
      <c r="O63" s="76">
        <f>100*G63*C63/((друк!$C$15-друк!$C$18)/2)</f>
        <v>238466.89702566984</v>
      </c>
      <c r="P63" s="76">
        <f t="shared" si="17"/>
        <v>1460404399.2176373</v>
      </c>
    </row>
    <row r="64" spans="1:16" ht="18">
      <c r="A64" s="76">
        <f t="shared" si="18"/>
        <v>60481.288968014735</v>
      </c>
      <c r="B64" s="76">
        <f t="shared" si="19"/>
        <v>12071.354840267251</v>
      </c>
      <c r="C64" s="76">
        <f t="shared" si="5"/>
        <v>193.18979611029738</v>
      </c>
      <c r="D64" s="76">
        <f>D63-друк!$C$42</f>
        <v>391.2326481800643</v>
      </c>
      <c r="E64" s="76">
        <f>E63-друк!$C$42</f>
        <v>193.25641070485563</v>
      </c>
      <c r="F64" s="76">
        <f t="shared" si="14"/>
        <v>3.194207653419307E-05</v>
      </c>
      <c r="G64" s="76">
        <f t="shared" si="20"/>
        <v>23662.25210398858</v>
      </c>
      <c r="H64" s="76">
        <f t="shared" si="21"/>
        <v>70986.75691073052</v>
      </c>
      <c r="I64" s="76">
        <f t="shared" si="22"/>
        <v>0.3912326060590225</v>
      </c>
      <c r="J64" s="76">
        <f t="shared" si="23"/>
        <v>3657986.061035717</v>
      </c>
      <c r="K64" s="76">
        <f>(G64-друк!$C$33/1000)/414</f>
        <v>57.139826432265465</v>
      </c>
      <c r="L64" s="76">
        <f t="shared" si="15"/>
        <v>1242.3341361542189</v>
      </c>
      <c r="M64" s="76">
        <f>0.001*414/(G64-друк!$C$33/1000)</f>
        <v>1.750092820434828E-05</v>
      </c>
      <c r="N64" s="76">
        <f t="shared" si="16"/>
        <v>0.33324368054602627</v>
      </c>
      <c r="O64" s="76">
        <f>100*G64*C64/((друк!$C$15-друк!$C$18)/2)</f>
        <v>233685.671030495</v>
      </c>
      <c r="P64" s="76">
        <f t="shared" si="17"/>
        <v>1431123507.1353478</v>
      </c>
    </row>
    <row r="65" spans="1:16" ht="18">
      <c r="A65" s="76">
        <f t="shared" si="18"/>
        <v>59988.32040422756</v>
      </c>
      <c r="B65" s="76">
        <f t="shared" si="19"/>
        <v>11875.375330236875</v>
      </c>
      <c r="C65" s="76">
        <f t="shared" si="5"/>
        <v>191.6151521509533</v>
      </c>
      <c r="D65" s="76">
        <f>D64-друк!$C$42</f>
        <v>389.6574612610451</v>
      </c>
      <c r="E65" s="76">
        <f>E64-друк!$C$42</f>
        <v>191.68122378583644</v>
      </c>
      <c r="F65" s="76">
        <f t="shared" si="14"/>
        <v>3.194207653419308E-05</v>
      </c>
      <c r="G65" s="76">
        <f t="shared" si="20"/>
        <v>23374.893943021703</v>
      </c>
      <c r="H65" s="76">
        <f t="shared" si="21"/>
        <v>70124.68242294948</v>
      </c>
      <c r="I65" s="76">
        <f t="shared" si="22"/>
        <v>0.38965741965519124</v>
      </c>
      <c r="J65" s="76">
        <f t="shared" si="23"/>
        <v>3598598.3399829734</v>
      </c>
      <c r="K65" s="76">
        <f>(G65-друк!$C$33/1000)/414</f>
        <v>56.44572459418122</v>
      </c>
      <c r="L65" s="76">
        <f t="shared" si="15"/>
        <v>1242.3382448735254</v>
      </c>
      <c r="M65" s="76">
        <f>0.001*414/(G65-друк!$C$33/1000)</f>
        <v>1.7716133634381343E-05</v>
      </c>
      <c r="N65" s="76">
        <f t="shared" si="16"/>
        <v>0.33324257842689753</v>
      </c>
      <c r="O65" s="76">
        <f>100*G65*C65/((друк!$C$15-друк!$C$18)/2)</f>
        <v>228966.16999326996</v>
      </c>
      <c r="P65" s="76">
        <f t="shared" si="17"/>
        <v>1402220627.268824</v>
      </c>
    </row>
    <row r="66" spans="1:16" ht="18">
      <c r="A66" s="76">
        <f t="shared" si="18"/>
        <v>59495.35184044039</v>
      </c>
      <c r="B66" s="76">
        <f t="shared" si="19"/>
        <v>11680.999739038718</v>
      </c>
      <c r="C66" s="76">
        <f t="shared" si="5"/>
        <v>190.04050819160918</v>
      </c>
      <c r="D66" s="76">
        <f>D65-друк!$C$42</f>
        <v>388.0822743420259</v>
      </c>
      <c r="E66" s="76">
        <f>E65-друк!$C$42</f>
        <v>190.10603686681725</v>
      </c>
      <c r="F66" s="76">
        <f t="shared" si="14"/>
        <v>3.194207653419308E-05</v>
      </c>
      <c r="G66" s="76">
        <f t="shared" si="20"/>
        <v>23089.088816726446</v>
      </c>
      <c r="H66" s="76">
        <f t="shared" si="21"/>
        <v>69267.26703918332</v>
      </c>
      <c r="I66" s="76">
        <f t="shared" si="22"/>
        <v>0.3880822332499</v>
      </c>
      <c r="J66" s="76">
        <f t="shared" si="23"/>
        <v>3539696.6547885574</v>
      </c>
      <c r="K66" s="76">
        <f>(G66-друк!$C$33/1000)/414</f>
        <v>55.755374047574314</v>
      </c>
      <c r="L66" s="76">
        <f t="shared" si="15"/>
        <v>1242.3424328582162</v>
      </c>
      <c r="M66" s="76">
        <f>0.001*414/(G66-друк!$C$33/1000)</f>
        <v>1.7935490830834195E-05</v>
      </c>
      <c r="N66" s="76">
        <f t="shared" si="16"/>
        <v>0.33324145505319647</v>
      </c>
      <c r="O66" s="76">
        <f>100*G66*C66/((друк!$C$15-друк!$C$18)/2)</f>
        <v>224308.01887486057</v>
      </c>
      <c r="P66" s="76">
        <f t="shared" si="17"/>
        <v>1373693462.8263173</v>
      </c>
    </row>
    <row r="67" spans="1:16" ht="18">
      <c r="A67" s="76">
        <f t="shared" si="18"/>
        <v>59002.38327665322</v>
      </c>
      <c r="B67" s="76">
        <f t="shared" si="19"/>
        <v>11488.22806667279</v>
      </c>
      <c r="C67" s="76">
        <f t="shared" si="5"/>
        <v>188.4658642322651</v>
      </c>
      <c r="D67" s="76">
        <f>D66-друк!$C$42</f>
        <v>386.50708742300674</v>
      </c>
      <c r="E67" s="76">
        <f>E66-друк!$C$42</f>
        <v>188.53084994779806</v>
      </c>
      <c r="F67" s="76">
        <f t="shared" si="14"/>
        <v>3.194207653419308E-05</v>
      </c>
      <c r="G67" s="76">
        <f t="shared" si="20"/>
        <v>22804.8367251039</v>
      </c>
      <c r="H67" s="76">
        <f t="shared" si="21"/>
        <v>68414.5107594353</v>
      </c>
      <c r="I67" s="76">
        <f t="shared" si="22"/>
        <v>0.3865070468431308</v>
      </c>
      <c r="J67" s="76">
        <f t="shared" si="23"/>
        <v>3481281.005453062</v>
      </c>
      <c r="K67" s="76">
        <f>(G67-друк!$C$33/1000)/414</f>
        <v>55.0687747924474</v>
      </c>
      <c r="L67" s="76">
        <f t="shared" si="15"/>
        <v>1242.3467022334814</v>
      </c>
      <c r="M67" s="76">
        <f>0.001*414/(G67-друк!$C$33/1000)</f>
        <v>1.8159111107319363E-05</v>
      </c>
      <c r="N67" s="76">
        <f t="shared" si="16"/>
        <v>0.3332403098553036</v>
      </c>
      <c r="O67" s="76">
        <f>100*G67*C67/((друк!$C$15-друк!$C$18)/2)</f>
        <v>219710.8426361325</v>
      </c>
      <c r="P67" s="76">
        <f t="shared" si="17"/>
        <v>1345539717.0160778</v>
      </c>
    </row>
    <row r="68" spans="1:16" ht="18">
      <c r="A68" s="76">
        <f t="shared" si="18"/>
        <v>58509.41471286605</v>
      </c>
      <c r="B68" s="76">
        <f t="shared" si="19"/>
        <v>11297.060313139084</v>
      </c>
      <c r="C68" s="76">
        <f t="shared" si="5"/>
        <v>186.89122027292095</v>
      </c>
      <c r="D68" s="76">
        <f>D67-друк!$C$42</f>
        <v>384.93190050398755</v>
      </c>
      <c r="E68" s="76">
        <f>E67-друк!$C$42</f>
        <v>186.95566302877887</v>
      </c>
      <c r="F68" s="76">
        <f t="shared" si="14"/>
        <v>3.194207653419307E-05</v>
      </c>
      <c r="G68" s="76">
        <f t="shared" si="20"/>
        <v>22522.137668155177</v>
      </c>
      <c r="H68" s="76">
        <f t="shared" si="21"/>
        <v>67566.41358370875</v>
      </c>
      <c r="I68" s="76">
        <f t="shared" si="22"/>
        <v>0.38493186043486516</v>
      </c>
      <c r="J68" s="76">
        <f t="shared" si="23"/>
        <v>3423351.391977082</v>
      </c>
      <c r="K68" s="76">
        <f>(G68-друк!$C$33/1000)/414</f>
        <v>54.385926828803136</v>
      </c>
      <c r="L68" s="76">
        <f t="shared" si="15"/>
        <v>1242.3510551984405</v>
      </c>
      <c r="M68" s="76">
        <f>0.001*414/(G68-друк!$C$33/1000)</f>
        <v>1.8387109649667562E-05</v>
      </c>
      <c r="N68" s="76">
        <f t="shared" si="16"/>
        <v>0.3332391422437935</v>
      </c>
      <c r="O68" s="76">
        <f>100*G68*C68/((друк!$C$15-друк!$C$18)/2)</f>
        <v>215174.26623795094</v>
      </c>
      <c r="P68" s="76">
        <f t="shared" si="17"/>
        <v>1317757093.046353</v>
      </c>
    </row>
    <row r="69" spans="1:16" ht="18">
      <c r="A69" s="76">
        <f t="shared" si="18"/>
        <v>58016.446149078874</v>
      </c>
      <c r="B69" s="76">
        <f t="shared" si="19"/>
        <v>11107.496478437599</v>
      </c>
      <c r="C69" s="76">
        <f t="shared" si="5"/>
        <v>185.31657631357686</v>
      </c>
      <c r="D69" s="76">
        <f>D68-друк!$C$42</f>
        <v>383.35671358496836</v>
      </c>
      <c r="E69" s="76">
        <f>E68-друк!$C$42</f>
        <v>185.38047610975968</v>
      </c>
      <c r="F69" s="76">
        <f t="shared" si="14"/>
        <v>3.194207653419307E-05</v>
      </c>
      <c r="G69" s="76">
        <f t="shared" si="20"/>
        <v>22240.991645881422</v>
      </c>
      <c r="H69" s="76">
        <f t="shared" si="21"/>
        <v>66722.97551200709</v>
      </c>
      <c r="I69" s="76">
        <f t="shared" si="22"/>
        <v>0.3833566740250846</v>
      </c>
      <c r="J69" s="76">
        <f t="shared" si="23"/>
        <v>3365907.8143612267</v>
      </c>
      <c r="K69" s="76">
        <f>(G69-друк!$C$33/1000)/414</f>
        <v>53.70683015664431</v>
      </c>
      <c r="L69" s="76">
        <f t="shared" si="15"/>
        <v>1242.3554940293288</v>
      </c>
      <c r="M69" s="76">
        <f>0.001*414/(G69-друк!$C$33/1000)</f>
        <v>1.8619605682989385E-05</v>
      </c>
      <c r="N69" s="76">
        <f t="shared" si="16"/>
        <v>0.33323795160858083</v>
      </c>
      <c r="O69" s="76">
        <f>100*G69*C69/((друк!$C$15-друк!$C$18)/2)</f>
        <v>210697.91464118144</v>
      </c>
      <c r="P69" s="76">
        <f t="shared" si="17"/>
        <v>1290343294.1253927</v>
      </c>
    </row>
    <row r="70" spans="1:16" ht="18">
      <c r="A70" s="76">
        <f t="shared" si="18"/>
        <v>57523.47758529171</v>
      </c>
      <c r="B70" s="76">
        <f t="shared" si="19"/>
        <v>10919.53656256834</v>
      </c>
      <c r="C70" s="76">
        <f t="shared" si="5"/>
        <v>183.74193235423274</v>
      </c>
      <c r="D70" s="76">
        <f>D69-друк!$C$42</f>
        <v>381.7815266659492</v>
      </c>
      <c r="E70" s="76">
        <f>E69-друк!$C$42</f>
        <v>183.8052891907405</v>
      </c>
      <c r="F70" s="76">
        <f t="shared" si="14"/>
        <v>3.194207653419307E-05</v>
      </c>
      <c r="G70" s="76">
        <f t="shared" si="20"/>
        <v>21961.398658283786</v>
      </c>
      <c r="H70" s="76">
        <f t="shared" si="21"/>
        <v>65884.19654433378</v>
      </c>
      <c r="I70" s="76">
        <f t="shared" si="22"/>
        <v>0.3817814876137702</v>
      </c>
      <c r="J70" s="76">
        <f t="shared" si="23"/>
        <v>3308950.272606107</v>
      </c>
      <c r="K70" s="76">
        <f>(G70-друк!$C$33/1000)/414</f>
        <v>53.03148477597369</v>
      </c>
      <c r="L70" s="76">
        <f t="shared" si="15"/>
        <v>1242.3600210828552</v>
      </c>
      <c r="M70" s="76">
        <f>0.001*414/(G70-друк!$C$33/1000)</f>
        <v>1.8856722647393376E-05</v>
      </c>
      <c r="N70" s="76">
        <f t="shared" si="16"/>
        <v>0.3332367373180223</v>
      </c>
      <c r="O70" s="76">
        <f>100*G70*C70/((друк!$C$15-друк!$C$18)/2)</f>
        <v>206281.41280668895</v>
      </c>
      <c r="P70" s="76">
        <f t="shared" si="17"/>
        <v>1263296023.4614427</v>
      </c>
    </row>
    <row r="71" spans="1:16" ht="18">
      <c r="A71" s="76">
        <f t="shared" si="18"/>
        <v>57030.509021504535</v>
      </c>
      <c r="B71" s="76">
        <f t="shared" si="19"/>
        <v>10733.180565531304</v>
      </c>
      <c r="C71" s="76">
        <f t="shared" si="5"/>
        <v>182.16728839488866</v>
      </c>
      <c r="D71" s="76">
        <f>D70-друк!$C$42</f>
        <v>380.20633974693</v>
      </c>
      <c r="E71" s="76">
        <f>E70-друк!$C$42</f>
        <v>182.2301022717213</v>
      </c>
      <c r="F71" s="76">
        <f t="shared" si="14"/>
        <v>3.194207653419308E-05</v>
      </c>
      <c r="G71" s="76">
        <f t="shared" si="20"/>
        <v>21683.358705363433</v>
      </c>
      <c r="H71" s="76">
        <f t="shared" si="21"/>
        <v>65050.07668069234</v>
      </c>
      <c r="I71" s="76">
        <f t="shared" si="22"/>
        <v>0.3802063012009026</v>
      </c>
      <c r="J71" s="76">
        <f t="shared" si="23"/>
        <v>3252478.766712341</v>
      </c>
      <c r="K71" s="76">
        <f>(G71-друк!$C$33/1000)/414</f>
        <v>52.359890686794095</v>
      </c>
      <c r="L71" s="76">
        <f t="shared" si="15"/>
        <v>1242.364638799731</v>
      </c>
      <c r="M71" s="76">
        <f>0.001*414/(G71-друк!$C$33/1000)</f>
        <v>1.909858838288626E-05</v>
      </c>
      <c r="N71" s="76">
        <f t="shared" si="16"/>
        <v>0.3332354987179708</v>
      </c>
      <c r="O71" s="76">
        <f>100*G71*C71/((друк!$C$15-друк!$C$18)/2)</f>
        <v>201924.38569533834</v>
      </c>
      <c r="P71" s="76">
        <f t="shared" si="17"/>
        <v>1236612984.2627482</v>
      </c>
    </row>
    <row r="72" spans="1:16" ht="18">
      <c r="A72" s="76">
        <f t="shared" si="18"/>
        <v>56537.54045771736</v>
      </c>
      <c r="B72" s="76">
        <f t="shared" si="19"/>
        <v>10548.428487326491</v>
      </c>
      <c r="C72" s="76">
        <f t="shared" si="5"/>
        <v>180.59264443554454</v>
      </c>
      <c r="D72" s="76">
        <f>D71-друк!$C$42</f>
        <v>378.6311528279108</v>
      </c>
      <c r="E72" s="76">
        <f>E71-друк!$C$42</f>
        <v>180.65491535270212</v>
      </c>
      <c r="F72" s="76">
        <f t="shared" si="14"/>
        <v>3.194207653419308E-05</v>
      </c>
      <c r="G72" s="76">
        <f t="shared" si="20"/>
        <v>21406.87178712156</v>
      </c>
      <c r="H72" s="76">
        <f t="shared" si="21"/>
        <v>64220.615921086326</v>
      </c>
      <c r="I72" s="76">
        <f t="shared" si="22"/>
        <v>0.3786311147864623</v>
      </c>
      <c r="J72" s="76">
        <f t="shared" si="23"/>
        <v>3196493.296680556</v>
      </c>
      <c r="K72" s="76">
        <f>(G72-друк!$C$33/1000)/414</f>
        <v>51.69204788910841</v>
      </c>
      <c r="L72" s="76">
        <f t="shared" si="15"/>
        <v>1242.3693497083852</v>
      </c>
      <c r="M72" s="76">
        <f>0.001*414/(G72-друк!$C$33/1000)</f>
        <v>1.9345335324018022E-05</v>
      </c>
      <c r="N72" s="76">
        <f t="shared" si="16"/>
        <v>0.3332342351307814</v>
      </c>
      <c r="O72" s="76">
        <f>100*G72*C72/((друк!$C$15-друк!$C$18)/2)</f>
        <v>197626.45826799425</v>
      </c>
      <c r="P72" s="76">
        <f t="shared" si="17"/>
        <v>1210291879.7375536</v>
      </c>
    </row>
    <row r="73" spans="1:16" ht="18">
      <c r="A73" s="76">
        <f t="shared" si="18"/>
        <v>56044.571893930195</v>
      </c>
      <c r="B73" s="76">
        <f t="shared" si="19"/>
        <v>10365.280327953906</v>
      </c>
      <c r="C73" s="76">
        <f t="shared" si="5"/>
        <v>179.01800047620043</v>
      </c>
      <c r="D73" s="76">
        <f>D72-друк!$C$42</f>
        <v>377.0559659088916</v>
      </c>
      <c r="E73" s="76">
        <f>E72-друк!$C$42</f>
        <v>179.07972843368293</v>
      </c>
      <c r="F73" s="76">
        <f t="shared" si="14"/>
        <v>3.194207653419307E-05</v>
      </c>
      <c r="G73" s="76">
        <f t="shared" si="20"/>
        <v>21131.93790355938</v>
      </c>
      <c r="H73" s="76">
        <f t="shared" si="21"/>
        <v>63395.8142655194</v>
      </c>
      <c r="I73" s="76">
        <f t="shared" si="22"/>
        <v>0.37705592837042945</v>
      </c>
      <c r="J73" s="76">
        <f t="shared" si="23"/>
        <v>3140993.862511387</v>
      </c>
      <c r="K73" s="76">
        <f>(G73-друк!$C$33/1000)/414</f>
        <v>51.02795638291957</v>
      </c>
      <c r="L73" s="76">
        <f t="shared" si="15"/>
        <v>1242.3741564288803</v>
      </c>
      <c r="M73" s="76">
        <f>0.001*414/(G73-друк!$C$33/1000)</f>
        <v>1.959710070487414E-05</v>
      </c>
      <c r="N73" s="76">
        <f t="shared" si="16"/>
        <v>0.3332329458542624</v>
      </c>
      <c r="O73" s="76">
        <f>100*G73*C73/((друк!$C$15-друк!$C$18)/2)</f>
        <v>193387.25548552116</v>
      </c>
      <c r="P73" s="76">
        <f t="shared" si="17"/>
        <v>1184330413.0941021</v>
      </c>
    </row>
    <row r="74" spans="1:16" ht="18">
      <c r="A74" s="76">
        <f t="shared" si="18"/>
        <v>55551.60333014302</v>
      </c>
      <c r="B74" s="76">
        <f t="shared" si="19"/>
        <v>10183.73608741354</v>
      </c>
      <c r="C74" s="76">
        <f t="shared" si="5"/>
        <v>177.44335651685634</v>
      </c>
      <c r="D74" s="76">
        <f>D73-друк!$C$42</f>
        <v>375.4807789898724</v>
      </c>
      <c r="E74" s="76">
        <f>E73-друк!$C$42</f>
        <v>177.50454151466374</v>
      </c>
      <c r="F74" s="76">
        <f t="shared" si="14"/>
        <v>3.194207653419308E-05</v>
      </c>
      <c r="G74" s="76">
        <f t="shared" si="20"/>
        <v>20858.557054678116</v>
      </c>
      <c r="H74" s="76">
        <f t="shared" si="21"/>
        <v>62575.671713995216</v>
      </c>
      <c r="I74" s="76">
        <f t="shared" si="22"/>
        <v>0.37548074195278364</v>
      </c>
      <c r="J74" s="76">
        <f t="shared" si="23"/>
        <v>3085980.464205472</v>
      </c>
      <c r="K74" s="76">
        <f>(G74-друк!$C$33/1000)/414</f>
        <v>50.367616168230526</v>
      </c>
      <c r="L74" s="76">
        <f t="shared" si="15"/>
        <v>1242.3790616770334</v>
      </c>
      <c r="M74" s="76">
        <f>0.001*414/(G74-друк!$C$33/1000)</f>
        <v>1.9854026775060125E-05</v>
      </c>
      <c r="N74" s="76">
        <f t="shared" si="16"/>
        <v>0.3332316301605723</v>
      </c>
      <c r="O74" s="76">
        <f>100*G74*C74/((друк!$C$15-друк!$C$18)/2)</f>
        <v>189206.40230878332</v>
      </c>
      <c r="P74" s="76">
        <f t="shared" si="17"/>
        <v>1158726287.540635</v>
      </c>
    </row>
    <row r="75" spans="1:16" ht="18">
      <c r="A75" s="76">
        <f t="shared" si="18"/>
        <v>55058.63476635585</v>
      </c>
      <c r="B75" s="76">
        <f t="shared" si="19"/>
        <v>10003.7957657054</v>
      </c>
      <c r="C75" s="76">
        <f t="shared" si="5"/>
        <v>175.86871255751223</v>
      </c>
      <c r="D75" s="76">
        <f>D74-друк!$C$42</f>
        <v>373.90559207085323</v>
      </c>
      <c r="E75" s="76">
        <f>E74-друк!$C$42</f>
        <v>175.92935459564455</v>
      </c>
      <c r="F75" s="76">
        <f t="shared" si="14"/>
        <v>3.194207653419307E-05</v>
      </c>
      <c r="G75" s="76">
        <f t="shared" si="20"/>
        <v>20586.72924047903</v>
      </c>
      <c r="H75" s="76">
        <f t="shared" si="21"/>
        <v>61760.18826651757</v>
      </c>
      <c r="I75" s="76">
        <f t="shared" si="22"/>
        <v>0.3739055555335044</v>
      </c>
      <c r="J75" s="76">
        <f t="shared" si="23"/>
        <v>3031453.1017634617</v>
      </c>
      <c r="K75" s="76">
        <f>(G75-друк!$C$33/1000)/414</f>
        <v>49.711027245044335</v>
      </c>
      <c r="L75" s="76">
        <f t="shared" si="15"/>
        <v>1242.3840682687644</v>
      </c>
      <c r="M75" s="76">
        <f>0.001*414/(G75-друк!$C$33/1000)</f>
        <v>2.0116261027369728E-05</v>
      </c>
      <c r="N75" s="76">
        <f t="shared" si="16"/>
        <v>0.33323028729505527</v>
      </c>
      <c r="O75" s="76">
        <f>100*G75*C75/((друк!$C$15-друк!$C$18)/2)</f>
        <v>185083.5236986449</v>
      </c>
      <c r="P75" s="76">
        <f t="shared" si="17"/>
        <v>1133477206.2853932</v>
      </c>
    </row>
    <row r="76" spans="1:16" ht="18">
      <c r="A76" s="76">
        <f t="shared" si="18"/>
        <v>54565.66620256868</v>
      </c>
      <c r="B76" s="76">
        <f t="shared" si="19"/>
        <v>9825.459362829482</v>
      </c>
      <c r="C76" s="76">
        <f t="shared" si="5"/>
        <v>174.2940685981681</v>
      </c>
      <c r="D76" s="76">
        <f>D75-друк!$C$42</f>
        <v>372.33040515183404</v>
      </c>
      <c r="E76" s="76">
        <f>E75-друк!$C$42</f>
        <v>174.35416767662537</v>
      </c>
      <c r="F76" s="76">
        <f t="shared" si="14"/>
        <v>3.194207653419307E-05</v>
      </c>
      <c r="G76" s="76">
        <f t="shared" si="20"/>
        <v>20316.454460963392</v>
      </c>
      <c r="H76" s="76">
        <f t="shared" si="21"/>
        <v>60949.36392309026</v>
      </c>
      <c r="I76" s="76">
        <f t="shared" si="22"/>
        <v>0.3723303691125707</v>
      </c>
      <c r="J76" s="76">
        <f t="shared" si="23"/>
        <v>2977411.775186011</v>
      </c>
      <c r="K76" s="76">
        <f>(G76-друк!$C$33/1000)/414</f>
        <v>49.05818961336404</v>
      </c>
      <c r="L76" s="76">
        <f t="shared" si="15"/>
        <v>1242.3891791246801</v>
      </c>
      <c r="M76" s="76">
        <f>0.001*414/(G76-друк!$C$33/1000)</f>
        <v>2.038395643787858E-05</v>
      </c>
      <c r="N76" s="76">
        <f t="shared" si="16"/>
        <v>0.3332289164750146</v>
      </c>
      <c r="O76" s="76">
        <f>100*G76*C76/((друк!$C$15-друк!$C$18)/2)</f>
        <v>181018.24461596957</v>
      </c>
      <c r="P76" s="76">
        <f t="shared" si="17"/>
        <v>1108580872.5366158</v>
      </c>
    </row>
    <row r="77" spans="1:16" ht="18">
      <c r="A77" s="76">
        <f t="shared" si="18"/>
        <v>54072.69763878151</v>
      </c>
      <c r="B77" s="76">
        <f t="shared" si="19"/>
        <v>9648.726878785788</v>
      </c>
      <c r="C77" s="76">
        <f t="shared" si="5"/>
        <v>172.719424638824</v>
      </c>
      <c r="D77" s="76">
        <f>D76-друк!$C$42</f>
        <v>370.75521823281485</v>
      </c>
      <c r="E77" s="76">
        <f>E76-друк!$C$42</f>
        <v>172.77898075760618</v>
      </c>
      <c r="F77" s="76">
        <f t="shared" si="14"/>
        <v>3.194207653419307E-05</v>
      </c>
      <c r="G77" s="76">
        <f t="shared" si="20"/>
        <v>20047.73271613249</v>
      </c>
      <c r="H77" s="76">
        <f t="shared" si="21"/>
        <v>60143.19868371718</v>
      </c>
      <c r="I77" s="76">
        <f t="shared" si="22"/>
        <v>0.3707551826899612</v>
      </c>
      <c r="J77" s="76">
        <f t="shared" si="23"/>
        <v>2923856.4844737807</v>
      </c>
      <c r="K77" s="76">
        <f>(G77-друк!$C$33/1000)/414</f>
        <v>48.409103273192784</v>
      </c>
      <c r="L77" s="76">
        <f t="shared" si="15"/>
        <v>1242.3943972749091</v>
      </c>
      <c r="M77" s="76">
        <f>0.001*414/(G77-друк!$C$33/1000)</f>
        <v>2.0657271719258722E-05</v>
      </c>
      <c r="N77" s="76">
        <f t="shared" si="16"/>
        <v>0.33322751688841745</v>
      </c>
      <c r="O77" s="76">
        <f>100*G77*C77/((друк!$C$15-друк!$C$18)/2)</f>
        <v>177010.19002162103</v>
      </c>
      <c r="P77" s="76">
        <f t="shared" si="17"/>
        <v>1084034989.50254</v>
      </c>
    </row>
    <row r="78" spans="1:16" ht="18">
      <c r="A78" s="76">
        <f t="shared" si="18"/>
        <v>53579.729074994335</v>
      </c>
      <c r="B78" s="76">
        <f t="shared" si="19"/>
        <v>9473.598313574317</v>
      </c>
      <c r="C78" s="76">
        <f t="shared" si="5"/>
        <v>171.1447806794799</v>
      </c>
      <c r="D78" s="76">
        <f>D77-друк!$C$42</f>
        <v>369.18003131379567</v>
      </c>
      <c r="E78" s="76">
        <f>E77-друк!$C$42</f>
        <v>171.203793838587</v>
      </c>
      <c r="F78" s="76">
        <f t="shared" si="14"/>
        <v>3.194207653419308E-05</v>
      </c>
      <c r="G78" s="76">
        <f t="shared" si="20"/>
        <v>19780.56400598765</v>
      </c>
      <c r="H78" s="76">
        <f t="shared" si="21"/>
        <v>59341.692548402265</v>
      </c>
      <c r="I78" s="76">
        <f t="shared" si="22"/>
        <v>0.36917999626565434</v>
      </c>
      <c r="J78" s="76">
        <f t="shared" si="23"/>
        <v>2870787.2296274453</v>
      </c>
      <c r="K78" s="76">
        <f>(G78-друк!$C$33/1000)/414</f>
        <v>47.76376822453375</v>
      </c>
      <c r="L78" s="76">
        <f t="shared" si="15"/>
        <v>1242.3997258642073</v>
      </c>
      <c r="M78" s="76">
        <f>0.001*414/(G78-друк!$C$33/1000)</f>
        <v>2.0936371588168632E-05</v>
      </c>
      <c r="N78" s="76">
        <f t="shared" si="16"/>
        <v>0.3332260876925287</v>
      </c>
      <c r="O78" s="76">
        <f>100*G78*C78/((друк!$C$15-друк!$C$18)/2)</f>
        <v>173058.9848764627</v>
      </c>
      <c r="P78" s="76">
        <f t="shared" si="17"/>
        <v>1059837260.3914028</v>
      </c>
    </row>
    <row r="79" spans="1:16" ht="18">
      <c r="A79" s="76">
        <f aca="true" t="shared" si="24" ref="A79:A84">E79/SQRT(($K$5*$K$5)+($K$6*$K$6))</f>
        <v>53086.76051120717</v>
      </c>
      <c r="B79" s="76">
        <f aca="true" t="shared" si="25" ref="B79:B84">3*A79^2*$K$5/1000</f>
        <v>9300.073667195076</v>
      </c>
      <c r="C79" s="76">
        <f t="shared" si="5"/>
        <v>169.5701367201358</v>
      </c>
      <c r="D79" s="76">
        <f>D78-друк!$C$42</f>
        <v>367.6048443947765</v>
      </c>
      <c r="E79" s="76">
        <f>E78-друк!$C$42</f>
        <v>169.6286069195678</v>
      </c>
      <c r="F79" s="76">
        <f t="shared" si="14"/>
        <v>3.194207653419307E-05</v>
      </c>
      <c r="G79" s="76">
        <f aca="true" t="shared" si="26" ref="G79:G84">((((A79*SQRT((D79^2-((A79*$K$6/1000)^2))))))-(A79*($K$5/1000))*3)*0.001</f>
        <v>19514.948330530213</v>
      </c>
      <c r="H79" s="76">
        <f aca="true" t="shared" si="27" ref="H79:H84">((((A79*SQRT((D79^2-((A79*$K$6/1000)^2))))))*3)*0.001</f>
        <v>58544.845517149566</v>
      </c>
      <c r="I79" s="76">
        <f aca="true" t="shared" si="28" ref="I79:I84">0.001*(SQRT(D79^2-(A79*$K$6/1000)^2))-(A79*$K$5/1000)/(A79*(G79+($K$5/1000)))</f>
        <v>0.3676048098396279</v>
      </c>
      <c r="J79" s="76">
        <f t="shared" si="23"/>
        <v>2818204.010647682</v>
      </c>
      <c r="K79" s="76">
        <f>(G79-друк!$C$33/1000)/414</f>
        <v>47.12218446739018</v>
      </c>
      <c r="L79" s="76">
        <f t="shared" si="15"/>
        <v>1242.40516815735</v>
      </c>
      <c r="M79" s="76">
        <f>0.001*414/(G79-друк!$C$33/1000)</f>
        <v>2.1221427047636703E-05</v>
      </c>
      <c r="N79" s="76">
        <f t="shared" si="16"/>
        <v>0.33322462801246744</v>
      </c>
      <c r="O79" s="76">
        <f>100*G79*C79/((друк!$C$15-друк!$C$18)/2)</f>
        <v>169164.25414135776</v>
      </c>
      <c r="P79" s="76">
        <f t="shared" si="17"/>
        <v>1035985388.4114395</v>
      </c>
    </row>
    <row r="80" spans="1:16" ht="18">
      <c r="A80" s="76">
        <f t="shared" si="24"/>
        <v>52593.791947419995</v>
      </c>
      <c r="B80" s="76">
        <f t="shared" si="25"/>
        <v>9128.152939648051</v>
      </c>
      <c r="C80" s="76">
        <f>(SQRT(E80^2-((A80*$K$6/1000)^2)))-(A80*$K$5/1000)</f>
        <v>167.99549276079168</v>
      </c>
      <c r="D80" s="76">
        <f>D79-друк!$C$42</f>
        <v>366.0296574757573</v>
      </c>
      <c r="E80" s="76">
        <f>E79-друк!$C$42</f>
        <v>168.0534200005486</v>
      </c>
      <c r="F80" s="76">
        <f t="shared" si="14"/>
        <v>3.194207653419307E-05</v>
      </c>
      <c r="G80" s="76">
        <f t="shared" si="26"/>
        <v>19250.885689761533</v>
      </c>
      <c r="H80" s="76">
        <f t="shared" si="27"/>
        <v>57752.65758996314</v>
      </c>
      <c r="I80" s="76">
        <f t="shared" si="28"/>
        <v>0.3660296234118594</v>
      </c>
      <c r="J80" s="76">
        <f t="shared" si="23"/>
        <v>2766106.827535176</v>
      </c>
      <c r="K80" s="76">
        <f>(G80-друк!$C$33/1000)/414</f>
        <v>46.48435200176535</v>
      </c>
      <c r="L80" s="76">
        <f t="shared" si="15"/>
        <v>1242.4107275448273</v>
      </c>
      <c r="M80" s="76">
        <f>0.001*414/(G80-друк!$C$33/1000)</f>
        <v>2.1512615685425125E-05</v>
      </c>
      <c r="N80" s="76">
        <f t="shared" si="16"/>
        <v>0.33322313693968203</v>
      </c>
      <c r="O80" s="76">
        <f>100*G80*C80/((друк!$C$15-друк!$C$18)/2)</f>
        <v>165325.62277716908</v>
      </c>
      <c r="P80" s="76">
        <f t="shared" si="17"/>
        <v>1012477076.770883</v>
      </c>
    </row>
    <row r="81" spans="1:16" ht="18">
      <c r="A81" s="76">
        <f t="shared" si="24"/>
        <v>52100.82338363282</v>
      </c>
      <c r="B81" s="76">
        <f t="shared" si="25"/>
        <v>8957.836130933252</v>
      </c>
      <c r="C81" s="76">
        <f>(SQRT(E81^2-((A81*$K$6/1000)^2)))-(A81*$K$5/1000)</f>
        <v>166.4208488014476</v>
      </c>
      <c r="D81" s="76">
        <f>D80-друк!$C$42</f>
        <v>364.4544705567381</v>
      </c>
      <c r="E81" s="76">
        <f>E80-друк!$C$42</f>
        <v>166.47823308152942</v>
      </c>
      <c r="F81" s="76">
        <f t="shared" si="14"/>
        <v>3.194207653419307E-05</v>
      </c>
      <c r="G81" s="76">
        <f t="shared" si="26"/>
        <v>18988.376083683004</v>
      </c>
      <c r="H81" s="76">
        <f t="shared" si="27"/>
        <v>56965.128766847156</v>
      </c>
      <c r="I81" s="76">
        <f t="shared" si="28"/>
        <v>0.3644544369823261</v>
      </c>
      <c r="J81" s="76">
        <f t="shared" si="23"/>
        <v>2714495.6802906226</v>
      </c>
      <c r="K81" s="76">
        <f>(G81-друк!$C$33/1000)/414</f>
        <v>45.85027082766263</v>
      </c>
      <c r="L81" s="76">
        <f t="shared" si="15"/>
        <v>1242.4164075488657</v>
      </c>
      <c r="M81" s="76">
        <f>0.001*414/(G81-друк!$C$33/1000)</f>
        <v>2.181012198943599E-05</v>
      </c>
      <c r="N81" s="76">
        <f t="shared" si="16"/>
        <v>0.33322161353033874</v>
      </c>
      <c r="O81" s="76">
        <f>100*G81*C81/((друк!$C$15-друк!$C$18)/2)</f>
        <v>161542.71574475942</v>
      </c>
      <c r="P81" s="76">
        <f t="shared" si="17"/>
        <v>989310028.6779656</v>
      </c>
    </row>
    <row r="82" spans="1:16" ht="18">
      <c r="A82" s="76">
        <f t="shared" si="24"/>
        <v>51607.854819845656</v>
      </c>
      <c r="B82" s="76">
        <f t="shared" si="25"/>
        <v>8789.123241050682</v>
      </c>
      <c r="C82" s="76">
        <f>(SQRT(E82^2-((A82*$K$6/1000)^2)))-(A82*$K$5/1000)</f>
        <v>164.84620484210348</v>
      </c>
      <c r="D82" s="76">
        <f>D81-друк!$C$42</f>
        <v>362.8792836377189</v>
      </c>
      <c r="E82" s="76">
        <f>E81-друк!$C$42</f>
        <v>164.90304616251024</v>
      </c>
      <c r="F82" s="76">
        <f t="shared" si="14"/>
        <v>3.194207653419307E-05</v>
      </c>
      <c r="G82" s="76">
        <f t="shared" si="26"/>
        <v>18727.419512296034</v>
      </c>
      <c r="H82" s="76">
        <f t="shared" si="27"/>
        <v>56182.25904780586</v>
      </c>
      <c r="I82" s="76">
        <f t="shared" si="28"/>
        <v>0.3628792505510046</v>
      </c>
      <c r="J82" s="76">
        <f t="shared" si="23"/>
        <v>2663370.5689147236</v>
      </c>
      <c r="K82" s="76">
        <f>(G82-друк!$C$33/1000)/414</f>
        <v>45.2199409450854</v>
      </c>
      <c r="L82" s="76">
        <f t="shared" si="15"/>
        <v>1242.4222118297985</v>
      </c>
      <c r="M82" s="76">
        <f>0.001*414/(G82-друк!$C$33/1000)</f>
        <v>2.2114137681302793E-05</v>
      </c>
      <c r="N82" s="76">
        <f t="shared" si="16"/>
        <v>0.3332200568036163</v>
      </c>
      <c r="O82" s="76">
        <f>100*G82*C82/((друк!$C$15-друк!$C$18)/2)</f>
        <v>157815.15800499116</v>
      </c>
      <c r="P82" s="76">
        <f t="shared" si="17"/>
        <v>966481947.3409184</v>
      </c>
    </row>
    <row r="83" spans="1:16" ht="18">
      <c r="A83" s="76">
        <f t="shared" si="24"/>
        <v>51114.88625605848</v>
      </c>
      <c r="B83" s="76">
        <f t="shared" si="25"/>
        <v>8622.014270000327</v>
      </c>
      <c r="C83" s="76">
        <f>(SQRT(E83^2-((A83*$K$6/1000)^2)))-(A83*$K$5/1000)</f>
        <v>163.27156088275936</v>
      </c>
      <c r="D83" s="76">
        <f>D82-друк!$C$42</f>
        <v>361.3040967186997</v>
      </c>
      <c r="E83" s="76">
        <f>E82-друк!$C$42</f>
        <v>163.32785924349105</v>
      </c>
      <c r="F83" s="76">
        <f t="shared" si="14"/>
        <v>3.194207653419307E-05</v>
      </c>
      <c r="G83" s="76">
        <f t="shared" si="26"/>
        <v>18468.015975602055</v>
      </c>
      <c r="H83" s="76">
        <f t="shared" si="27"/>
        <v>55404.048432843534</v>
      </c>
      <c r="I83" s="76">
        <f t="shared" si="28"/>
        <v>0.3613040641178713</v>
      </c>
      <c r="J83" s="76">
        <f t="shared" si="23"/>
        <v>2612731.493408188</v>
      </c>
      <c r="K83" s="76">
        <f>(G83-друк!$C$33/1000)/414</f>
        <v>44.59336235403714</v>
      </c>
      <c r="L83" s="76">
        <f t="shared" si="15"/>
        <v>1242.4281441928022</v>
      </c>
      <c r="M83" s="76">
        <f>0.001*414/(G83-друк!$C$33/1000)</f>
        <v>2.2424862069398716E-05</v>
      </c>
      <c r="N83" s="76">
        <f t="shared" si="16"/>
        <v>0.3332184657399026</v>
      </c>
      <c r="O83" s="76">
        <f>100*G83*C83/((друк!$C$15-друк!$C$18)/2)</f>
        <v>154142.57451872656</v>
      </c>
      <c r="P83" s="76">
        <f t="shared" si="17"/>
        <v>943990535.9679699</v>
      </c>
    </row>
    <row r="84" spans="1:16" ht="18">
      <c r="A84" s="76">
        <f t="shared" si="24"/>
        <v>50621.91769227131</v>
      </c>
      <c r="B84" s="76">
        <f t="shared" si="25"/>
        <v>8456.5092177822</v>
      </c>
      <c r="C84" s="76">
        <f>(SQRT(E84^2-((A84*$K$6/1000)^2)))-(A84*$K$5/1000)</f>
        <v>161.69691692341527</v>
      </c>
      <c r="D84" s="76">
        <f>D83-друк!$C$42</f>
        <v>359.72890979968054</v>
      </c>
      <c r="E84" s="76">
        <f>E83-друк!$C$42</f>
        <v>161.75267232447186</v>
      </c>
      <c r="F84" s="76">
        <f t="shared" si="14"/>
        <v>3.194207653419308E-05</v>
      </c>
      <c r="G84" s="76">
        <f t="shared" si="26"/>
        <v>18210.16547360253</v>
      </c>
      <c r="H84" s="76">
        <f t="shared" si="27"/>
        <v>54630.49692196457</v>
      </c>
      <c r="I84" s="76">
        <f t="shared" si="28"/>
        <v>0.359728877682902</v>
      </c>
      <c r="J84" s="76">
        <f t="shared" si="23"/>
        <v>2562578.453771736</v>
      </c>
      <c r="K84" s="76">
        <f>(G84-друк!$C$33/1000)/414</f>
        <v>43.970535054521385</v>
      </c>
      <c r="L84" s="76">
        <f t="shared" si="15"/>
        <v>1242.4342085950361</v>
      </c>
      <c r="M84" s="76">
        <f>0.001*414/(G84-друк!$C$33/1000)</f>
        <v>2.2742502422589294E-05</v>
      </c>
      <c r="N84" s="76">
        <f t="shared" si="16"/>
        <v>0.3332168392788843</v>
      </c>
      <c r="O84" s="76">
        <f>100*G84*C84/((друк!$C$15-друк!$C$18)/2)</f>
        <v>150524.59024682757</v>
      </c>
      <c r="P84" s="76">
        <f t="shared" si="17"/>
        <v>921833497.767348</v>
      </c>
    </row>
  </sheetData>
  <sheetProtection/>
  <mergeCells count="29">
    <mergeCell ref="L9:M9"/>
    <mergeCell ref="L3:M3"/>
    <mergeCell ref="L4:M4"/>
    <mergeCell ref="L6:M6"/>
    <mergeCell ref="A2:H2"/>
    <mergeCell ref="A3:H3"/>
    <mergeCell ref="A4:H4"/>
    <mergeCell ref="L7:M7"/>
    <mergeCell ref="L8:M8"/>
    <mergeCell ref="A9:H9"/>
    <mergeCell ref="I10:J10"/>
    <mergeCell ref="L10:M10"/>
    <mergeCell ref="A5:H5"/>
    <mergeCell ref="A6:H6"/>
    <mergeCell ref="I6:J6"/>
    <mergeCell ref="I7:J7"/>
    <mergeCell ref="I8:J8"/>
    <mergeCell ref="I9:J9"/>
    <mergeCell ref="L5:M5"/>
    <mergeCell ref="A1:P1"/>
    <mergeCell ref="I13:I14"/>
    <mergeCell ref="J13:J14"/>
    <mergeCell ref="I3:J3"/>
    <mergeCell ref="I4:J4"/>
    <mergeCell ref="I5:J5"/>
    <mergeCell ref="A11:P11"/>
    <mergeCell ref="A7:H7"/>
    <mergeCell ref="A8:H8"/>
    <mergeCell ref="A10:H10"/>
  </mergeCells>
  <printOptions/>
  <pageMargins left="0.75" right="0.75" top="1" bottom="1" header="0.5" footer="0.5"/>
  <pageSetup horizontalDpi="360" verticalDpi="36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 НМетАУ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КЕМА</dc:title>
  <dc:subject>параметри ДСП</dc:subject>
  <dc:creator>Козлов Г.О.</dc:creator>
  <cp:keywords/>
  <dc:description/>
  <cp:lastModifiedBy>Козлов</cp:lastModifiedBy>
  <cp:lastPrinted>2007-06-14T09:24:30Z</cp:lastPrinted>
  <dcterms:created xsi:type="dcterms:W3CDTF">2003-05-11T12:17:31Z</dcterms:created>
  <dcterms:modified xsi:type="dcterms:W3CDTF">2007-06-14T09:27:46Z</dcterms:modified>
  <cp:category>розрахунки</cp:category>
  <cp:version/>
  <cp:contentType/>
  <cp:contentStatus/>
</cp:coreProperties>
</file>